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00" tabRatio="784" activeTab="0"/>
  </bookViews>
  <sheets>
    <sheet name="мун.задание" sheetId="1" r:id="rId1"/>
    <sheet name="бланк" sheetId="2" r:id="rId2"/>
  </sheets>
  <externalReferences>
    <externalReference r:id="rId5"/>
    <externalReference r:id="rId6"/>
    <externalReference r:id="rId7"/>
  </externalReferences>
  <definedNames>
    <definedName name="_xlnm.Print_Titles" localSheetId="1">'бланк'!$1:$3</definedName>
    <definedName name="_xlnm.Print_Area" localSheetId="1">'бланк'!$A$1:$S$66</definedName>
    <definedName name="_xlnm.Print_Area" localSheetId="0">'мун.задание'!$A$1:$R$236</definedName>
  </definedNames>
  <calcPr fullCalcOnLoad="1"/>
</workbook>
</file>

<file path=xl/sharedStrings.xml><?xml version="1.0" encoding="utf-8"?>
<sst xmlns="http://schemas.openxmlformats.org/spreadsheetml/2006/main" count="328" uniqueCount="230">
  <si>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</si>
  <si>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</si>
  <si>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</si>
  <si>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</si>
  <si>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</si>
  <si>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</si>
  <si>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</si>
  <si>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</si>
  <si>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</si>
  <si>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</si>
  <si>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</si>
  <si>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</si>
  <si>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</si>
  <si>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</si>
  <si>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</si>
  <si>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</si>
  <si>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</si>
  <si>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</si>
  <si>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</si>
  <si>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</si>
  <si>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</si>
  <si>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</si>
  <si>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</si>
  <si>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</si>
  <si>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</si>
  <si>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</si>
  <si>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</si>
  <si>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</si>
  <si>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</si>
  <si>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</si>
  <si>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</si>
  <si>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</si>
  <si>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</si>
  <si>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</si>
  <si>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</si>
  <si>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</si>
  <si>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</si>
  <si>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</si>
  <si>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</si>
  <si>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</si>
  <si>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</si>
  <si>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</si>
  <si>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</si>
  <si>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</si>
  <si>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</si>
  <si>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</si>
  <si>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</si>
  <si>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</si>
  <si>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</si>
  <si>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</si>
  <si>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</si>
  <si>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</si>
  <si>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</si>
  <si>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</si>
  <si>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</si>
  <si>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</si>
  <si>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</si>
  <si>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</si>
  <si>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</si>
  <si>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</si>
  <si>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</si>
  <si>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</si>
  <si>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</si>
  <si>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</si>
  <si>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</si>
  <si>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</si>
  <si>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</si>
  <si>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</si>
  <si>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</si>
  <si>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</si>
  <si>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</si>
  <si>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</si>
  <si>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Затраты на реацизацию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</si>
  <si>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</si>
  <si>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</si>
  <si>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</si>
  <si>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</si>
  <si>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</si>
  <si>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</si>
  <si>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</si>
  <si>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</si>
  <si>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</si>
  <si>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</si>
  <si>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</si>
  <si>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</si>
  <si>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</si>
  <si>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</si>
  <si>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</si>
  <si>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</si>
  <si>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</si>
  <si>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Долгосрочная целевая программ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Пензы, и здания Управления образования города Пензы на 2010-2012 г.г."</t>
  </si>
  <si>
    <t>Долгосрочная целевая программа "Многодетная семья, 2011-2013 годы"</t>
  </si>
  <si>
    <t>Долгосрочная целевая программа " Профилактика терроризма и экстремизма в городе Пензе на 2010-2013 годы"</t>
  </si>
  <si>
    <t xml:space="preserve"> </t>
  </si>
  <si>
    <t>Финансовое обеспечение исполнения муниципального задания осуществляется в пределах бюджетных ассигнований и лимитов бюджетных обязательств в соответствии со сметой, утвержденной органом местного самоуправления города Пензы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</si>
  <si>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</si>
  <si>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</si>
  <si>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</si>
  <si>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</si>
  <si>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</si>
  <si>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</si>
  <si>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</si>
  <si>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</si>
  <si>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</si>
  <si>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Долгосрочная целевая программа Энергосбережения и повышения энергоэффективности в городе Пензе на период 2010-2020 годов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</si>
  <si>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</si>
  <si>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</si>
  <si>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</si>
  <si>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</si>
  <si>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</si>
  <si>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</si>
  <si>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</si>
  <si>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</si>
  <si>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</si>
  <si>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</si>
  <si>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</si>
  <si>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</si>
  <si>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В соответствии со стандартом качества предоставляемой услуги, согласно постановления Администрации города Пензы № 682/1 от 19.05.2009 г.ОБ УТВЕРЖДЕНИИ СТАНДАРТА КАЧЕСТВА ПРЕДОСТАВЛЕНИЯ МУНИЦИПАЛЬНОЙ УСЛУГИ " ОРГАНИЗАЦИЯ ПРЕДОСТАВЛЕНИЯ ОБЩЕДОСТУПНОГО И БЕСПАТНОГО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</si>
  <si>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</si>
  <si>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</si>
  <si>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</si>
  <si>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</si>
  <si>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</si>
  <si>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</si>
  <si>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 xml:space="preserve">Наличие жалоб на деятельность Учреждения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</si>
  <si>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</si>
  <si>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</si>
  <si>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</si>
  <si>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Доля учащихся (от общего числа учащихся) в       
Учреждении, занимающихся в кружках, секциях,     
учреждениях дополнительного образования          
</t>
  </si>
  <si>
    <t xml:space="preserve">Не менее 85%       </t>
  </si>
  <si>
    <t xml:space="preserve">Наличие штрафных санкций контролирующих органов  
(Роспотребнадзор, ГО ЧС, прокуратура) в отношении
не соблюдения лицензионных требований  
</t>
  </si>
  <si>
    <t xml:space="preserve">Отсутствие случаев травматизма учащихся и        
работников Учреждения во время образовательного  
процесса
</t>
  </si>
  <si>
    <t xml:space="preserve">Охват учащихся организованным горячим питанием   </t>
  </si>
  <si>
    <t xml:space="preserve">Не менее 100%      </t>
  </si>
  <si>
    <t xml:space="preserve">Доля учащихся, занимающихся в спортивных кружках 
и секциях                                        
</t>
  </si>
  <si>
    <t xml:space="preserve">Не менее 30%       </t>
  </si>
  <si>
    <t xml:space="preserve">Проведение практических занятий и тренировок по  
действию работников Учреждения в экстремальных   
ситуациях                                        
</t>
  </si>
  <si>
    <t xml:space="preserve">Не менее 1 учебно- 
тренировочного     
занятия за квартал 
</t>
  </si>
  <si>
    <t>Мероприятия по выполнению наказов избирателей в области общего образования, поступивших депутатам Пензенской городской Думы</t>
  </si>
  <si>
    <t>Долгосрочная целевая программа "Организация отдыха, оздоровления, занятости детей и подростков в городе Пензе на 2011-2015 годы"</t>
  </si>
  <si>
    <t>Долгосрочная целевая программа "Школьное молоко" на период 2011-2013 годы"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</si>
  <si>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</si>
  <si>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</si>
  <si>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</si>
  <si>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</si>
  <si>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</si>
  <si>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</si>
  <si>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</si>
  <si>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</si>
  <si>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</si>
  <si>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</si>
  <si>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</si>
  <si>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</si>
  <si>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</si>
  <si>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>по кварталам, в случае выбора квартальной детализации объема услуг</t>
  </si>
  <si>
    <t>Гл.бухгалтер ____________________________________</t>
  </si>
  <si>
    <t>Директор_________________________________</t>
  </si>
  <si>
    <t>ВСЕГО СМЕТА</t>
  </si>
  <si>
    <t>итого по 3 блоку</t>
  </si>
  <si>
    <t>Налоги</t>
  </si>
  <si>
    <t>Коммунальные услуги</t>
  </si>
  <si>
    <t>итого по 1 блоку</t>
  </si>
  <si>
    <t>итого по 2 блоку</t>
  </si>
  <si>
    <t>итого по косгу 226</t>
  </si>
  <si>
    <t>мед. осмотр</t>
  </si>
  <si>
    <t>Услуги по утилизация ртутосодержащих отходов</t>
  </si>
  <si>
    <t>Услуги тревожная кнопка</t>
  </si>
  <si>
    <t>итого по косгу 225</t>
  </si>
  <si>
    <t>текущий ремонт оборудования</t>
  </si>
  <si>
    <t>текущий ремонт зданий</t>
  </si>
  <si>
    <t>Услуги тех.обслуживанию пожарной сигнализации</t>
  </si>
  <si>
    <t>Услуги по дератизации</t>
  </si>
  <si>
    <t>Услуги по тех.обслуживание ТС</t>
  </si>
  <si>
    <t>Услуги по вывозу мусора</t>
  </si>
  <si>
    <t>Коммунальные услуги (из блока3)</t>
  </si>
  <si>
    <t xml:space="preserve">приобретение услуг связи </t>
  </si>
  <si>
    <t>затраты на компенсационные выплаты по уходу за ребенком</t>
  </si>
  <si>
    <t>Компенсация на метод. Литературу</t>
  </si>
  <si>
    <t>4 квартал</t>
  </si>
  <si>
    <t>3 квартал</t>
  </si>
  <si>
    <t>2 квартал</t>
  </si>
  <si>
    <t>1 квартал</t>
  </si>
  <si>
    <t>месяц</t>
  </si>
  <si>
    <t>КОСГУ</t>
  </si>
  <si>
    <t>горячее водоснабжение</t>
  </si>
  <si>
    <t>всего</t>
  </si>
  <si>
    <t>Организация отдыха и оздоровления детей в оздоровительных лагерях с дневным пребыванием детей в период школьных каникул</t>
  </si>
  <si>
    <t xml:space="preserve"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</t>
  </si>
  <si>
    <t>Ежемесячное денежное вознаграждение за классное руководство</t>
  </si>
  <si>
    <t>вода и канализация</t>
  </si>
  <si>
    <t>электроэнергия</t>
  </si>
  <si>
    <t>теплоэнергия</t>
  </si>
  <si>
    <t>Косгу 223 справочно заполнить и не распечатывать</t>
  </si>
  <si>
    <t>местные</t>
  </si>
  <si>
    <t>субвенция</t>
  </si>
  <si>
    <t>итого по местному бюджету блок 1</t>
  </si>
  <si>
    <t>итого по субвенции</t>
  </si>
  <si>
    <t>Приобретение материальныз запасов</t>
  </si>
  <si>
    <t>Приобретение основных средств</t>
  </si>
  <si>
    <t>МЕСТНЫЙ</t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</si>
  <si>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(УЧИТЕЛЯ,ОБЖ)</t>
    </r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</si>
  <si>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(ВСЕ ОСТАЛЬНЫЕ ДОЛЖНОСТИ)</t>
    </r>
  </si>
  <si>
    <t>СУБВЕНЦИЯ</t>
  </si>
  <si>
    <t>Косгу 211 , 213  справочно заполнить и не распечатывать</t>
  </si>
  <si>
    <r>
      <t>ФЗП  персонала, 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(УЧИТЕЛЯ,ОБЖ)</t>
    </r>
  </si>
  <si>
    <r>
      <t>ФЗП  персонала, не принимающего непосредственное участие в оказании муниципальной услуги(бюджет Пензенской области)</t>
    </r>
    <r>
      <rPr>
        <b/>
        <sz val="8"/>
        <rFont val="Times New Roman"/>
        <family val="1"/>
      </rPr>
      <t>(ВСЕ ОСТАЛЬНЫЕ ДОЛЖНОСТИ)</t>
    </r>
  </si>
  <si>
    <t>местный</t>
  </si>
  <si>
    <t>в т.ч. Аванс</t>
  </si>
  <si>
    <t>на 1.01.11</t>
  </si>
  <si>
    <t>на 1.06.11</t>
  </si>
  <si>
    <t>на 1.09.11</t>
  </si>
  <si>
    <t>Приобретение основных средств(субв)</t>
  </si>
  <si>
    <t>Приобретение материальныз запасов(субв)</t>
  </si>
  <si>
    <t>Тех.обслуживание средств радиомодема прямой связи</t>
  </si>
  <si>
    <t>Аттестация рабочих мест</t>
  </si>
  <si>
    <t>т/о  теплосчетчиков</t>
  </si>
  <si>
    <t>Сопровождение 1С</t>
  </si>
  <si>
    <t>Х.Г. Курмаев</t>
  </si>
  <si>
    <t>К.В. Соколовская</t>
  </si>
  <si>
    <t>Знаки ГТО</t>
  </si>
  <si>
    <t>Подпрограмма "Организация отдыха, оздоровления и занятости  детей и подростков" (в оздоровительных лагерях с дневным пребыванием детей в период школьных каникул)</t>
  </si>
  <si>
    <t>Определение нормативных затрат по  _МБОУ СОШ №______68__________________по месяцам.</t>
  </si>
  <si>
    <t>Областная целевая программа Энергосбережения и повышения энергоэффективности Пензенской области на 2010-2020 годов</t>
  </si>
  <si>
    <t>Мероприятия по выполнению наказов избирателей, поступивших депутатам Пензенской городской Думы</t>
  </si>
  <si>
    <t>Ю.А. Голодяев</t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</si>
  <si>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с углубленным изучением информатики  №68     г. Пензы</t>
    </r>
  </si>
  <si>
    <t>Общепрограммные мероприятия по долгосрочной целевой программе "Формирование информационного общества в Пензенской области на период до 2012г"</t>
  </si>
  <si>
    <t>Директор МБОУ СОШ №68</t>
  </si>
  <si>
    <r>
      <t xml:space="preserve">на период с </t>
    </r>
    <r>
      <rPr>
        <u val="single"/>
        <sz val="11"/>
        <color indexed="8"/>
        <rFont val="Times New Roman"/>
        <family val="1"/>
      </rPr>
      <t xml:space="preserve">01.01.2013 </t>
    </r>
    <r>
      <rPr>
        <sz val="11"/>
        <color indexed="8"/>
        <rFont val="Times New Roman"/>
        <family val="1"/>
      </rPr>
      <t xml:space="preserve">  по </t>
    </r>
    <r>
      <rPr>
        <u val="single"/>
        <sz val="11"/>
        <color indexed="8"/>
        <rFont val="Times New Roman"/>
        <family val="1"/>
      </rPr>
      <t>31.12.2013</t>
    </r>
    <r>
      <rPr>
        <sz val="11"/>
        <color indexed="8"/>
        <rFont val="Times New Roman"/>
        <family val="1"/>
      </rPr>
      <t>.</t>
    </r>
  </si>
  <si>
    <t xml:space="preserve">1).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</si>
</sst>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Times New Roman"/>
      <family val="1"/>
    </font>
    <font>
      <b/>
      <i/>
      <u val="single"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right"/>
    </xf>
    <xf numFmtId="0" fontId="57" fillId="0" borderId="11" xfId="0" applyFont="1" applyBorder="1" applyAlignment="1">
      <alignment/>
    </xf>
    <xf numFmtId="0" fontId="59" fillId="0" borderId="12" xfId="0" applyFont="1" applyBorder="1" applyAlignment="1">
      <alignment horizontal="left" vertical="top" wrapText="1"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right" vertical="top"/>
    </xf>
    <xf numFmtId="0" fontId="57" fillId="0" borderId="0" xfId="0" applyFont="1" applyBorder="1" applyAlignment="1">
      <alignment vertical="top" wrapText="1"/>
    </xf>
    <xf numFmtId="0" fontId="57" fillId="0" borderId="11" xfId="0" applyFont="1" applyBorder="1" applyAlignment="1">
      <alignment vertical="top"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9" fillId="0" borderId="10" xfId="0" applyFont="1" applyBorder="1" applyAlignment="1">
      <alignment horizontal="right" wrapText="1"/>
    </xf>
    <xf numFmtId="0" fontId="57" fillId="0" borderId="10" xfId="0" applyFont="1" applyBorder="1" applyAlignment="1">
      <alignment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0" fontId="59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wrapText="1"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59" fillId="33" borderId="10" xfId="0" applyFont="1" applyFill="1" applyBorder="1" applyAlignment="1">
      <alignment/>
    </xf>
    <xf numFmtId="2" fontId="58" fillId="0" borderId="10" xfId="0" applyNumberFormat="1" applyFont="1" applyBorder="1" applyAlignment="1">
      <alignment textRotation="90"/>
    </xf>
    <xf numFmtId="2" fontId="58" fillId="33" borderId="10" xfId="0" applyNumberFormat="1" applyFont="1" applyFill="1" applyBorder="1" applyAlignment="1">
      <alignment textRotation="90"/>
    </xf>
    <xf numFmtId="0" fontId="59" fillId="0" borderId="10" xfId="0" applyFont="1" applyBorder="1" applyAlignment="1">
      <alignment textRotation="90"/>
    </xf>
    <xf numFmtId="0" fontId="58" fillId="0" borderId="10" xfId="0" applyFont="1" applyBorder="1" applyAlignment="1">
      <alignment textRotation="90"/>
    </xf>
    <xf numFmtId="0" fontId="58" fillId="33" borderId="10" xfId="0" applyFont="1" applyFill="1" applyBorder="1" applyAlignment="1">
      <alignment textRotation="90"/>
    </xf>
    <xf numFmtId="0" fontId="61" fillId="0" borderId="16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2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20" xfId="0" applyFont="1" applyBorder="1" applyAlignment="1">
      <alignment wrapText="1"/>
    </xf>
    <xf numFmtId="0" fontId="61" fillId="0" borderId="18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8" xfId="0" applyFont="1" applyBorder="1" applyAlignment="1">
      <alignment wrapText="1"/>
    </xf>
    <xf numFmtId="0" fontId="61" fillId="0" borderId="14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vertical="top" wrapText="1"/>
    </xf>
    <xf numFmtId="0" fontId="61" fillId="0" borderId="15" xfId="0" applyFont="1" applyBorder="1" applyAlignment="1">
      <alignment wrapText="1"/>
    </xf>
    <xf numFmtId="0" fontId="61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0" fillId="2" borderId="0" xfId="0" applyFill="1" applyAlignment="1">
      <alignment/>
    </xf>
    <xf numFmtId="0" fontId="62" fillId="7" borderId="0" xfId="0" applyFont="1" applyFill="1" applyAlignment="1">
      <alignment/>
    </xf>
    <xf numFmtId="0" fontId="63" fillId="7" borderId="10" xfId="0" applyFont="1" applyFill="1" applyBorder="1" applyAlignment="1">
      <alignment/>
    </xf>
    <xf numFmtId="0" fontId="62" fillId="7" borderId="10" xfId="0" applyFont="1" applyFill="1" applyBorder="1" applyAlignment="1">
      <alignment/>
    </xf>
    <xf numFmtId="0" fontId="0" fillId="4" borderId="0" xfId="0" applyFill="1" applyAlignment="1">
      <alignment/>
    </xf>
    <xf numFmtId="0" fontId="47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47" fillId="4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wrapText="1"/>
    </xf>
    <xf numFmtId="0" fontId="55" fillId="34" borderId="0" xfId="0" applyFont="1" applyFill="1" applyAlignment="1">
      <alignment/>
    </xf>
    <xf numFmtId="0" fontId="55" fillId="34" borderId="10" xfId="0" applyFont="1" applyFill="1" applyBorder="1" applyAlignment="1">
      <alignment/>
    </xf>
    <xf numFmtId="0" fontId="64" fillId="34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35" fillId="2" borderId="0" xfId="0" applyFont="1" applyFill="1" applyAlignment="1">
      <alignment/>
    </xf>
    <xf numFmtId="0" fontId="35" fillId="2" borderId="10" xfId="0" applyFont="1" applyFill="1" applyBorder="1" applyAlignment="1">
      <alignment/>
    </xf>
    <xf numFmtId="0" fontId="35" fillId="22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0" fontId="9" fillId="22" borderId="10" xfId="0" applyFont="1" applyFill="1" applyBorder="1" applyAlignment="1">
      <alignment vertical="top" wrapText="1"/>
    </xf>
    <xf numFmtId="0" fontId="35" fillId="34" borderId="0" xfId="0" applyFont="1" applyFill="1" applyAlignment="1">
      <alignment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0" fontId="0" fillId="22" borderId="0" xfId="0" applyFill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2" fontId="59" fillId="0" borderId="10" xfId="0" applyNumberFormat="1" applyFont="1" applyBorder="1" applyAlignment="1">
      <alignment textRotation="90"/>
    </xf>
    <xf numFmtId="4" fontId="0" fillId="0" borderId="0" xfId="0" applyNumberFormat="1" applyAlignment="1">
      <alignment/>
    </xf>
    <xf numFmtId="4" fontId="0" fillId="2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9" fontId="0" fillId="2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65" fillId="7" borderId="10" xfId="0" applyNumberFormat="1" applyFont="1" applyFill="1" applyBorder="1" applyAlignment="1">
      <alignment/>
    </xf>
    <xf numFmtId="4" fontId="66" fillId="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4" fontId="47" fillId="2" borderId="0" xfId="0" applyNumberFormat="1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7" fillId="2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66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4" fontId="66" fillId="10" borderId="10" xfId="0" applyNumberFormat="1" applyFont="1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4" fontId="55" fillId="34" borderId="10" xfId="0" applyNumberFormat="1" applyFont="1" applyFill="1" applyBorder="1" applyAlignment="1">
      <alignment/>
    </xf>
    <xf numFmtId="0" fontId="35" fillId="2" borderId="10" xfId="0" applyFont="1" applyFill="1" applyBorder="1" applyAlignment="1" applyProtection="1">
      <alignment/>
      <protection locked="0"/>
    </xf>
    <xf numFmtId="4" fontId="35" fillId="22" borderId="1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4" fontId="35" fillId="34" borderId="10" xfId="0" applyNumberFormat="1" applyFont="1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4" fontId="0" fillId="22" borderId="10" xfId="0" applyNumberFormat="1" applyFill="1" applyBorder="1" applyAlignment="1">
      <alignment/>
    </xf>
    <xf numFmtId="0" fontId="55" fillId="0" borderId="0" xfId="0" applyFont="1" applyFill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" fontId="35" fillId="34" borderId="0" xfId="0" applyNumberFormat="1" applyFont="1" applyFill="1" applyAlignment="1">
      <alignment/>
    </xf>
    <xf numFmtId="4" fontId="35" fillId="0" borderId="0" xfId="0" applyNumberFormat="1" applyFont="1" applyFill="1" applyAlignment="1">
      <alignment/>
    </xf>
    <xf numFmtId="4" fontId="10" fillId="0" borderId="0" xfId="53" applyNumberFormat="1">
      <alignment/>
      <protection/>
    </xf>
    <xf numFmtId="4" fontId="0" fillId="22" borderId="0" xfId="0" applyNumberFormat="1" applyFill="1" applyAlignment="1">
      <alignment/>
    </xf>
    <xf numFmtId="4" fontId="0" fillId="10" borderId="0" xfId="0" applyNumberFormat="1" applyFill="1" applyAlignment="1">
      <alignment/>
    </xf>
    <xf numFmtId="4" fontId="47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62" fillId="7" borderId="0" xfId="0" applyNumberFormat="1" applyFont="1" applyFill="1" applyAlignment="1">
      <alignment/>
    </xf>
    <xf numFmtId="4" fontId="35" fillId="2" borderId="0" xfId="0" applyNumberFormat="1" applyFont="1" applyFill="1" applyAlignment="1">
      <alignment/>
    </xf>
    <xf numFmtId="4" fontId="55" fillId="34" borderId="0" xfId="0" applyNumberFormat="1" applyFont="1" applyFill="1" applyAlignment="1">
      <alignment/>
    </xf>
    <xf numFmtId="0" fontId="55" fillId="2" borderId="10" xfId="0" applyFont="1" applyFill="1" applyBorder="1" applyAlignment="1">
      <alignment/>
    </xf>
    <xf numFmtId="4" fontId="35" fillId="22" borderId="0" xfId="0" applyNumberFormat="1" applyFont="1" applyFill="1" applyAlignment="1">
      <alignment/>
    </xf>
    <xf numFmtId="0" fontId="10" fillId="0" borderId="10" xfId="53" applyFill="1" applyBorder="1">
      <alignment/>
      <protection/>
    </xf>
    <xf numFmtId="4" fontId="59" fillId="0" borderId="21" xfId="0" applyNumberFormat="1" applyFont="1" applyBorder="1" applyAlignment="1">
      <alignment horizontal="center"/>
    </xf>
    <xf numFmtId="4" fontId="59" fillId="0" borderId="12" xfId="0" applyNumberFormat="1" applyFont="1" applyBorder="1" applyAlignment="1">
      <alignment horizontal="center"/>
    </xf>
    <xf numFmtId="0" fontId="58" fillId="0" borderId="21" xfId="0" applyFont="1" applyBorder="1" applyAlignment="1">
      <alignment horizontal="left" wrapText="1"/>
    </xf>
    <xf numFmtId="0" fontId="58" fillId="0" borderId="22" xfId="0" applyFont="1" applyBorder="1" applyAlignment="1">
      <alignment horizontal="left" wrapText="1"/>
    </xf>
    <xf numFmtId="0" fontId="58" fillId="0" borderId="12" xfId="0" applyFont="1" applyBorder="1" applyAlignment="1">
      <alignment horizontal="left" wrapText="1"/>
    </xf>
    <xf numFmtId="0" fontId="6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25" xfId="0" applyFont="1" applyBorder="1" applyAlignment="1">
      <alignment horizontal="left" vertical="top" wrapText="1"/>
    </xf>
    <xf numFmtId="0" fontId="60" fillId="0" borderId="23" xfId="0" applyFont="1" applyBorder="1" applyAlignment="1">
      <alignment horizontal="left" vertical="top" wrapText="1"/>
    </xf>
    <xf numFmtId="0" fontId="60" fillId="0" borderId="24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wrapText="1"/>
    </xf>
    <xf numFmtId="0" fontId="61" fillId="0" borderId="24" xfId="0" applyFont="1" applyBorder="1" applyAlignment="1">
      <alignment horizont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wrapText="1"/>
    </xf>
    <xf numFmtId="0" fontId="61" fillId="0" borderId="23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59" fillId="0" borderId="2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wrapText="1"/>
    </xf>
    <xf numFmtId="0" fontId="64" fillId="0" borderId="2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57" fillId="0" borderId="0" xfId="0" applyFont="1" applyAlignment="1">
      <alignment horizontal="left" wrapText="1"/>
    </xf>
    <xf numFmtId="4" fontId="59" fillId="0" borderId="21" xfId="0" applyNumberFormat="1" applyFont="1" applyBorder="1" applyAlignment="1">
      <alignment horizontal="center" textRotation="90"/>
    </xf>
    <xf numFmtId="4" fontId="59" fillId="0" borderId="12" xfId="0" applyNumberFormat="1" applyFont="1" applyBorder="1" applyAlignment="1">
      <alignment horizontal="center" textRotation="90"/>
    </xf>
    <xf numFmtId="0" fontId="59" fillId="0" borderId="23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vertical="top" wrapText="1"/>
    </xf>
    <xf numFmtId="0" fontId="58" fillId="0" borderId="21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9" fillId="0" borderId="2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49" fontId="58" fillId="0" borderId="22" xfId="0" applyNumberFormat="1" applyFont="1" applyBorder="1" applyAlignment="1">
      <alignment vertical="center" wrapText="1"/>
    </xf>
    <xf numFmtId="49" fontId="58" fillId="0" borderId="12" xfId="0" applyNumberFormat="1" applyFont="1" applyBorder="1" applyAlignment="1">
      <alignment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8" fillId="0" borderId="2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5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left" wrapText="1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61" fillId="0" borderId="21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21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1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58" fillId="0" borderId="23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0" fontId="58" fillId="0" borderId="24" xfId="0" applyFont="1" applyBorder="1" applyAlignment="1">
      <alignment horizontal="left" wrapText="1"/>
    </xf>
    <xf numFmtId="0" fontId="58" fillId="0" borderId="17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18" xfId="0" applyFont="1" applyBorder="1" applyAlignment="1">
      <alignment horizontal="left" wrapText="1"/>
    </xf>
    <xf numFmtId="0" fontId="58" fillId="0" borderId="17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bat\&#1088;&#1072;&#1089;&#1095;&#1077;&#1090;%20&#1085;&#1086;&#1088;&#1084;&#1072;&#1090;&#1080;&#1074;&#1072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2\&#1047;&#1072;&#1103;&#1074;&#1082;&#1080;%20&#1085;&#1072;%202012%20&#1075;&#1086;&#1076;\&#1050;&#1086;&#1095;&#1085;&#1077;&#1074;&#1072;\&#1087;&#1086;%20&#1096;&#1082;&#1086;&#1083;&#1072;&#1084;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bat\&#1088;&#1072;&#1089;&#1095;&#1077;&#1090;%20&#1085;&#1086;&#1088;&#1084;&#1072;&#1090;&#1080;&#1074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а"/>
      <sheetName val="п.1мест."/>
      <sheetName val="п.1 (суб.)"/>
      <sheetName val="п.2 (мест.)"/>
      <sheetName val="п.2 (суб.) "/>
      <sheetName val="п.3"/>
      <sheetName val="п.4"/>
      <sheetName val="п.5"/>
      <sheetName val="п.6"/>
      <sheetName val="проверка"/>
    </sheetNames>
    <sheetDataSet>
      <sheetData sheetId="0">
        <row r="54">
          <cell r="F54">
            <v>24068.16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Ш №12"/>
      <sheetName val="СОШ №27"/>
      <sheetName val="СОШ №29"/>
      <sheetName val="СОШ №37"/>
      <sheetName val="СОШ №44"/>
      <sheetName val="СОШ №47"/>
      <sheetName val="СОШ №65"/>
      <sheetName val="СОШ №68"/>
      <sheetName val="СОШ №74"/>
      <sheetName val="СОШ №75"/>
      <sheetName val="Лист1"/>
    </sheetNames>
    <sheetDataSet>
      <sheetData sheetId="7">
        <row r="20">
          <cell r="J20">
            <v>0</v>
          </cell>
          <cell r="K20">
            <v>11200</v>
          </cell>
          <cell r="L20">
            <v>9000</v>
          </cell>
        </row>
        <row r="23">
          <cell r="J23">
            <v>1216101.99</v>
          </cell>
          <cell r="K23">
            <v>945445.08</v>
          </cell>
          <cell r="L23">
            <v>1233414.9300000002</v>
          </cell>
        </row>
        <row r="99">
          <cell r="J99">
            <v>519614</v>
          </cell>
          <cell r="K99">
            <v>1937885</v>
          </cell>
          <cell r="L99">
            <v>1879943</v>
          </cell>
        </row>
        <row r="107">
          <cell r="J107">
            <v>21077</v>
          </cell>
          <cell r="K107">
            <v>68606</v>
          </cell>
          <cell r="L107">
            <v>68606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а"/>
      <sheetName val="п.1мест."/>
      <sheetName val="п.1 (суб.)"/>
      <sheetName val="п.2 (мест.)"/>
      <sheetName val="п.2 (суб.) "/>
      <sheetName val="п.3"/>
      <sheetName val="п.4"/>
      <sheetName val="п.5"/>
      <sheetName val="п.6"/>
      <sheetName val="проверка"/>
    </sheetNames>
    <sheetDataSet>
      <sheetData sheetId="0">
        <row r="15">
          <cell r="F15">
            <v>20697393.37</v>
          </cell>
        </row>
        <row r="20">
          <cell r="F20">
            <v>0</v>
          </cell>
        </row>
        <row r="24">
          <cell r="F24">
            <v>15591902.370000001</v>
          </cell>
        </row>
        <row r="26">
          <cell r="F26">
            <v>4708754</v>
          </cell>
        </row>
        <row r="35">
          <cell r="F35">
            <v>4200</v>
          </cell>
        </row>
        <row r="38">
          <cell r="F38">
            <v>7312306.630000001</v>
          </cell>
        </row>
        <row r="40">
          <cell r="F40">
            <v>2208317</v>
          </cell>
        </row>
        <row r="44">
          <cell r="F44">
            <v>2553129</v>
          </cell>
        </row>
        <row r="46">
          <cell r="F46">
            <v>771045</v>
          </cell>
        </row>
        <row r="120">
          <cell r="F120">
            <v>91340.81</v>
          </cell>
        </row>
        <row r="121">
          <cell r="F121">
            <v>87090.7</v>
          </cell>
        </row>
        <row r="122">
          <cell r="F122">
            <v>229313.45</v>
          </cell>
        </row>
        <row r="123">
          <cell r="F123">
            <v>1012549.76</v>
          </cell>
        </row>
        <row r="124">
          <cell r="F124">
            <v>1063592.56</v>
          </cell>
        </row>
        <row r="126">
          <cell r="F126">
            <v>2483887.2800000003</v>
          </cell>
        </row>
        <row r="127">
          <cell r="F127">
            <v>15831952.91</v>
          </cell>
        </row>
        <row r="134">
          <cell r="F134">
            <v>1012549.77</v>
          </cell>
        </row>
        <row r="135">
          <cell r="F135">
            <v>118176.95</v>
          </cell>
        </row>
        <row r="139">
          <cell r="F139">
            <v>3530780.72</v>
          </cell>
        </row>
        <row r="140">
          <cell r="F140">
            <v>40060127</v>
          </cell>
        </row>
      </sheetData>
      <sheetData sheetId="5">
        <row r="7">
          <cell r="F7">
            <v>37328.46</v>
          </cell>
        </row>
        <row r="8">
          <cell r="F8">
            <v>38970.91</v>
          </cell>
        </row>
        <row r="9">
          <cell r="F9">
            <v>5871.72</v>
          </cell>
        </row>
        <row r="10">
          <cell r="F10">
            <v>20080</v>
          </cell>
        </row>
        <row r="11">
          <cell r="F11">
            <v>67296</v>
          </cell>
        </row>
        <row r="13">
          <cell r="F13">
            <v>16800</v>
          </cell>
        </row>
        <row r="16">
          <cell r="A16" t="str">
            <v>Т/О теплосчетчиков</v>
          </cell>
          <cell r="F16">
            <v>19262.67</v>
          </cell>
        </row>
        <row r="17">
          <cell r="A17" t="str">
            <v>поверка манометров</v>
          </cell>
          <cell r="F17">
            <v>5820</v>
          </cell>
        </row>
        <row r="18">
          <cell r="A18" t="str">
            <v>поверка теплосчетчиков</v>
          </cell>
          <cell r="F18">
            <v>18150</v>
          </cell>
        </row>
        <row r="19">
          <cell r="F19">
            <v>38526.24</v>
          </cell>
        </row>
        <row r="21">
          <cell r="F21">
            <v>2574.84</v>
          </cell>
        </row>
        <row r="53">
          <cell r="A53" t="str">
            <v>Мед.осмотр</v>
          </cell>
          <cell r="F53">
            <v>178330</v>
          </cell>
        </row>
        <row r="55">
          <cell r="B55">
            <v>7000</v>
          </cell>
        </row>
      </sheetData>
      <sheetData sheetId="9">
        <row r="9">
          <cell r="D9">
            <v>257259</v>
          </cell>
        </row>
        <row r="10">
          <cell r="D10">
            <v>139478</v>
          </cell>
        </row>
        <row r="14">
          <cell r="D14">
            <v>18989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6"/>
  <sheetViews>
    <sheetView tabSelected="1" view="pageBreakPreview" zoomScaleSheetLayoutView="100" zoomScalePageLayoutView="0" workbookViewId="0" topLeftCell="A115">
      <selection activeCell="R230" sqref="R230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5.2812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1" customWidth="1"/>
    <col min="11" max="11" width="6.8515625" style="1" customWidth="1"/>
    <col min="12" max="12" width="6.7109375" style="1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4.140625" style="1" customWidth="1"/>
    <col min="19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5" hidden="1"/>
    <row r="12" spans="1:18" ht="15" customHeight="1">
      <c r="A12" s="167" t="s">
        <v>10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18" ht="15">
      <c r="A13" s="168" t="s">
        <v>11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ht="15">
      <c r="A14" s="168" t="s">
        <v>228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7" spans="2:23" ht="30.75" customHeight="1">
      <c r="B17" s="213" t="s">
        <v>225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0"/>
      <c r="T17" s="20"/>
      <c r="U17" s="20"/>
      <c r="V17" s="20"/>
      <c r="W17" s="20"/>
    </row>
    <row r="18" ht="9" customHeight="1"/>
    <row r="19" ht="15">
      <c r="B19" s="1" t="s">
        <v>12</v>
      </c>
    </row>
    <row r="20" ht="6.75" customHeight="1"/>
    <row r="21" spans="1:18" ht="93" customHeight="1">
      <c r="A21" s="58" t="s">
        <v>13</v>
      </c>
      <c r="B21" s="58" t="s">
        <v>14</v>
      </c>
      <c r="C21" s="58" t="s">
        <v>15</v>
      </c>
      <c r="D21" s="169" t="s">
        <v>16</v>
      </c>
      <c r="E21" s="170"/>
      <c r="F21" s="169" t="s">
        <v>17</v>
      </c>
      <c r="G21" s="170"/>
      <c r="H21" s="169" t="s">
        <v>22</v>
      </c>
      <c r="I21" s="170"/>
      <c r="J21" s="169" t="s">
        <v>23</v>
      </c>
      <c r="K21" s="170"/>
      <c r="L21" s="169" t="s">
        <v>21</v>
      </c>
      <c r="M21" s="170"/>
      <c r="N21" s="169" t="s">
        <v>20</v>
      </c>
      <c r="O21" s="170"/>
      <c r="P21" s="58" t="s">
        <v>19</v>
      </c>
      <c r="Q21" s="169" t="s">
        <v>18</v>
      </c>
      <c r="R21" s="170"/>
    </row>
    <row r="22" spans="1:18" s="25" customFormat="1" ht="222" customHeight="1">
      <c r="A22" s="171">
        <v>1</v>
      </c>
      <c r="B22" s="171" t="s">
        <v>101</v>
      </c>
      <c r="C22" s="172" t="s">
        <v>150</v>
      </c>
      <c r="D22" s="171" t="s">
        <v>110</v>
      </c>
      <c r="E22" s="171"/>
      <c r="F22" s="175" t="s">
        <v>151</v>
      </c>
      <c r="G22" s="176"/>
      <c r="H22" s="175" t="s">
        <v>111</v>
      </c>
      <c r="I22" s="176"/>
      <c r="J22" s="185" t="s">
        <v>152</v>
      </c>
      <c r="K22" s="185"/>
      <c r="L22" s="171" t="s">
        <v>102</v>
      </c>
      <c r="M22" s="171"/>
      <c r="N22" s="171" t="s">
        <v>112</v>
      </c>
      <c r="O22" s="171"/>
      <c r="P22" s="185" t="s">
        <v>153</v>
      </c>
      <c r="Q22" s="186" t="s">
        <v>229</v>
      </c>
      <c r="R22" s="187"/>
    </row>
    <row r="23" spans="1:18" s="25" customFormat="1" ht="61.5" customHeight="1">
      <c r="A23" s="171"/>
      <c r="B23" s="171"/>
      <c r="C23" s="173"/>
      <c r="D23" s="171"/>
      <c r="E23" s="171"/>
      <c r="F23" s="177"/>
      <c r="G23" s="178"/>
      <c r="H23" s="177"/>
      <c r="I23" s="178"/>
      <c r="J23" s="185"/>
      <c r="K23" s="185"/>
      <c r="L23" s="171"/>
      <c r="M23" s="171"/>
      <c r="N23" s="171"/>
      <c r="O23" s="171"/>
      <c r="P23" s="185"/>
      <c r="Q23" s="188"/>
      <c r="R23" s="189"/>
    </row>
    <row r="24" spans="1:18" s="25" customFormat="1" ht="60.75" customHeight="1">
      <c r="A24" s="171"/>
      <c r="B24" s="171"/>
      <c r="C24" s="173"/>
      <c r="D24" s="171"/>
      <c r="E24" s="171"/>
      <c r="F24" s="177"/>
      <c r="G24" s="178"/>
      <c r="H24" s="177"/>
      <c r="I24" s="178"/>
      <c r="J24" s="185"/>
      <c r="K24" s="185"/>
      <c r="L24" s="171"/>
      <c r="M24" s="171"/>
      <c r="N24" s="171"/>
      <c r="O24" s="171"/>
      <c r="P24" s="185"/>
      <c r="Q24" s="188"/>
      <c r="R24" s="189"/>
    </row>
    <row r="25" spans="1:18" s="25" customFormat="1" ht="60.75" customHeight="1">
      <c r="A25" s="171"/>
      <c r="B25" s="171"/>
      <c r="C25" s="173"/>
      <c r="D25" s="171"/>
      <c r="E25" s="171"/>
      <c r="F25" s="177"/>
      <c r="G25" s="178"/>
      <c r="H25" s="177"/>
      <c r="I25" s="178"/>
      <c r="J25" s="185"/>
      <c r="K25" s="185"/>
      <c r="L25" s="171"/>
      <c r="M25" s="171"/>
      <c r="N25" s="171"/>
      <c r="O25" s="171"/>
      <c r="P25" s="185"/>
      <c r="Q25" s="188"/>
      <c r="R25" s="189"/>
    </row>
    <row r="26" spans="1:18" s="25" customFormat="1" ht="60.75" customHeight="1">
      <c r="A26" s="171"/>
      <c r="B26" s="171"/>
      <c r="C26" s="173"/>
      <c r="D26" s="171"/>
      <c r="E26" s="171"/>
      <c r="F26" s="177"/>
      <c r="G26" s="178"/>
      <c r="H26" s="177"/>
      <c r="I26" s="178"/>
      <c r="J26" s="185"/>
      <c r="K26" s="185"/>
      <c r="L26" s="171"/>
      <c r="M26" s="171"/>
      <c r="N26" s="171"/>
      <c r="O26" s="171"/>
      <c r="P26" s="185"/>
      <c r="Q26" s="188"/>
      <c r="R26" s="189"/>
    </row>
    <row r="27" spans="1:18" s="25" customFormat="1" ht="60.75" customHeight="1">
      <c r="A27" s="171"/>
      <c r="B27" s="171"/>
      <c r="C27" s="173"/>
      <c r="D27" s="171"/>
      <c r="E27" s="171"/>
      <c r="F27" s="177"/>
      <c r="G27" s="178"/>
      <c r="H27" s="177"/>
      <c r="I27" s="178"/>
      <c r="J27" s="185"/>
      <c r="K27" s="185"/>
      <c r="L27" s="171"/>
      <c r="M27" s="171"/>
      <c r="N27" s="171"/>
      <c r="O27" s="171"/>
      <c r="P27" s="185"/>
      <c r="Q27" s="188"/>
      <c r="R27" s="189"/>
    </row>
    <row r="28" spans="1:18" s="25" customFormat="1" ht="60.75" customHeight="1">
      <c r="A28" s="171"/>
      <c r="B28" s="171"/>
      <c r="C28" s="173"/>
      <c r="D28" s="171"/>
      <c r="E28" s="171"/>
      <c r="F28" s="177"/>
      <c r="G28" s="178"/>
      <c r="H28" s="177"/>
      <c r="I28" s="178"/>
      <c r="J28" s="185"/>
      <c r="K28" s="185"/>
      <c r="L28" s="171"/>
      <c r="M28" s="171"/>
      <c r="N28" s="171"/>
      <c r="O28" s="171"/>
      <c r="P28" s="185"/>
      <c r="Q28" s="188"/>
      <c r="R28" s="189"/>
    </row>
    <row r="29" spans="1:18" s="25" customFormat="1" ht="60.75" customHeight="1">
      <c r="A29" s="171"/>
      <c r="B29" s="171"/>
      <c r="C29" s="173"/>
      <c r="D29" s="171"/>
      <c r="E29" s="171"/>
      <c r="F29" s="177"/>
      <c r="G29" s="178"/>
      <c r="H29" s="177"/>
      <c r="I29" s="178"/>
      <c r="J29" s="185"/>
      <c r="K29" s="185"/>
      <c r="L29" s="171"/>
      <c r="M29" s="171"/>
      <c r="N29" s="171"/>
      <c r="O29" s="171"/>
      <c r="P29" s="185"/>
      <c r="Q29" s="188"/>
      <c r="R29" s="189"/>
    </row>
    <row r="30" spans="1:18" s="25" customFormat="1" ht="35.25" customHeight="1">
      <c r="A30" s="171"/>
      <c r="B30" s="171"/>
      <c r="C30" s="173"/>
      <c r="D30" s="171"/>
      <c r="E30" s="171"/>
      <c r="F30" s="177"/>
      <c r="G30" s="178"/>
      <c r="H30" s="177"/>
      <c r="I30" s="178"/>
      <c r="J30" s="185"/>
      <c r="K30" s="185"/>
      <c r="L30" s="171"/>
      <c r="M30" s="171"/>
      <c r="N30" s="171"/>
      <c r="O30" s="171"/>
      <c r="P30" s="185"/>
      <c r="Q30" s="188"/>
      <c r="R30" s="189"/>
    </row>
    <row r="31" spans="1:18" s="25" customFormat="1" ht="60.75" customHeight="1" hidden="1">
      <c r="A31" s="171"/>
      <c r="B31" s="171"/>
      <c r="C31" s="173"/>
      <c r="D31" s="171"/>
      <c r="E31" s="171"/>
      <c r="F31" s="177"/>
      <c r="G31" s="178"/>
      <c r="H31" s="177"/>
      <c r="I31" s="178"/>
      <c r="J31" s="185"/>
      <c r="K31" s="185"/>
      <c r="L31" s="171"/>
      <c r="M31" s="171"/>
      <c r="N31" s="171"/>
      <c r="O31" s="171"/>
      <c r="P31" s="185"/>
      <c r="Q31" s="188"/>
      <c r="R31" s="189"/>
    </row>
    <row r="32" spans="1:18" s="25" customFormat="1" ht="30.75" customHeight="1">
      <c r="A32" s="171"/>
      <c r="B32" s="171"/>
      <c r="C32" s="174"/>
      <c r="D32" s="171"/>
      <c r="E32" s="171"/>
      <c r="F32" s="179"/>
      <c r="G32" s="180"/>
      <c r="H32" s="179"/>
      <c r="I32" s="180"/>
      <c r="J32" s="185"/>
      <c r="K32" s="185"/>
      <c r="L32" s="171"/>
      <c r="M32" s="171"/>
      <c r="N32" s="171"/>
      <c r="O32" s="171"/>
      <c r="P32" s="185"/>
      <c r="Q32" s="190"/>
      <c r="R32" s="191"/>
    </row>
    <row r="35" ht="15">
      <c r="B35" s="1" t="s">
        <v>24</v>
      </c>
    </row>
    <row r="37" spans="1:18" ht="15" customHeight="1">
      <c r="A37" s="169" t="s">
        <v>14</v>
      </c>
      <c r="B37" s="170"/>
      <c r="C37" s="194" t="s">
        <v>29</v>
      </c>
      <c r="D37" s="196" t="s">
        <v>25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</row>
    <row r="38" spans="1:18" ht="28.5" customHeight="1">
      <c r="A38" s="192"/>
      <c r="B38" s="193"/>
      <c r="C38" s="195"/>
      <c r="D38" s="196" t="s">
        <v>26</v>
      </c>
      <c r="E38" s="196"/>
      <c r="F38" s="196"/>
      <c r="G38" s="196"/>
      <c r="H38" s="196"/>
      <c r="I38" s="196"/>
      <c r="J38" s="197" t="s">
        <v>27</v>
      </c>
      <c r="K38" s="198"/>
      <c r="L38" s="198"/>
      <c r="M38" s="198"/>
      <c r="N38" s="198"/>
      <c r="O38" s="199"/>
      <c r="P38" s="196" t="s">
        <v>28</v>
      </c>
      <c r="Q38" s="196"/>
      <c r="R38" s="196"/>
    </row>
    <row r="39" spans="1:19" ht="83.25" customHeight="1">
      <c r="A39" s="192"/>
      <c r="B39" s="193"/>
      <c r="C39" s="195"/>
      <c r="D39" s="194" t="s">
        <v>30</v>
      </c>
      <c r="E39" s="194"/>
      <c r="F39" s="194" t="s">
        <v>31</v>
      </c>
      <c r="G39" s="194"/>
      <c r="H39" s="194" t="s">
        <v>32</v>
      </c>
      <c r="I39" s="194"/>
      <c r="J39" s="194" t="s">
        <v>30</v>
      </c>
      <c r="K39" s="194"/>
      <c r="L39" s="194" t="s">
        <v>31</v>
      </c>
      <c r="M39" s="194"/>
      <c r="N39" s="169" t="s">
        <v>32</v>
      </c>
      <c r="O39" s="170"/>
      <c r="P39" s="27" t="s">
        <v>30</v>
      </c>
      <c r="Q39" s="27" t="s">
        <v>31</v>
      </c>
      <c r="R39" s="27" t="s">
        <v>32</v>
      </c>
      <c r="S39" s="6"/>
    </row>
    <row r="40" spans="1:18" s="26" customFormat="1" ht="199.5" customHeight="1">
      <c r="A40" s="209" t="s">
        <v>101</v>
      </c>
      <c r="B40" s="209"/>
      <c r="C40" s="185" t="s">
        <v>142</v>
      </c>
      <c r="D40" s="201" t="s">
        <v>106</v>
      </c>
      <c r="E40" s="202"/>
      <c r="F40" s="201" t="s">
        <v>107</v>
      </c>
      <c r="G40" s="202"/>
      <c r="H40" s="183"/>
      <c r="I40" s="184"/>
      <c r="J40" s="200"/>
      <c r="K40" s="200"/>
      <c r="L40" s="183"/>
      <c r="M40" s="184"/>
      <c r="N40" s="200"/>
      <c r="O40" s="200"/>
      <c r="P40" s="39" t="s">
        <v>108</v>
      </c>
      <c r="Q40" s="40" t="s">
        <v>109</v>
      </c>
      <c r="R40" s="28"/>
    </row>
    <row r="41" spans="1:18" s="26" customFormat="1" ht="10.5">
      <c r="A41" s="209"/>
      <c r="B41" s="209"/>
      <c r="C41" s="185"/>
      <c r="D41" s="181"/>
      <c r="E41" s="182"/>
      <c r="F41" s="181"/>
      <c r="G41" s="182"/>
      <c r="H41" s="41"/>
      <c r="I41" s="42"/>
      <c r="J41" s="43"/>
      <c r="K41" s="43"/>
      <c r="L41" s="41"/>
      <c r="M41" s="42"/>
      <c r="N41" s="43"/>
      <c r="O41" s="43"/>
      <c r="P41" s="44"/>
      <c r="Q41" s="45"/>
      <c r="R41" s="46"/>
    </row>
    <row r="42" spans="1:18" s="26" customFormat="1" ht="10.5">
      <c r="A42" s="209"/>
      <c r="B42" s="209"/>
      <c r="C42" s="185"/>
      <c r="D42" s="181"/>
      <c r="E42" s="182"/>
      <c r="F42" s="181"/>
      <c r="G42" s="182"/>
      <c r="H42" s="41"/>
      <c r="I42" s="42"/>
      <c r="J42" s="43"/>
      <c r="K42" s="43"/>
      <c r="L42" s="41"/>
      <c r="M42" s="42"/>
      <c r="N42" s="43"/>
      <c r="O42" s="43"/>
      <c r="P42" s="44"/>
      <c r="Q42" s="45"/>
      <c r="R42" s="46"/>
    </row>
    <row r="43" spans="1:18" s="26" customFormat="1" ht="10.5">
      <c r="A43" s="209"/>
      <c r="B43" s="209"/>
      <c r="C43" s="185"/>
      <c r="D43" s="181"/>
      <c r="E43" s="182"/>
      <c r="F43" s="181"/>
      <c r="G43" s="182"/>
      <c r="H43" s="41"/>
      <c r="I43" s="42"/>
      <c r="J43" s="43"/>
      <c r="K43" s="43"/>
      <c r="L43" s="41"/>
      <c r="M43" s="42"/>
      <c r="N43" s="43"/>
      <c r="O43" s="43"/>
      <c r="P43" s="44"/>
      <c r="Q43" s="45"/>
      <c r="R43" s="46"/>
    </row>
    <row r="44" spans="1:18" s="26" customFormat="1" ht="10.5">
      <c r="A44" s="209"/>
      <c r="B44" s="209"/>
      <c r="C44" s="185"/>
      <c r="D44" s="181"/>
      <c r="E44" s="182"/>
      <c r="F44" s="181"/>
      <c r="G44" s="182"/>
      <c r="H44" s="41"/>
      <c r="I44" s="42"/>
      <c r="J44" s="43"/>
      <c r="K44" s="43"/>
      <c r="L44" s="41"/>
      <c r="M44" s="42"/>
      <c r="N44" s="43"/>
      <c r="O44" s="43"/>
      <c r="P44" s="44"/>
      <c r="Q44" s="45"/>
      <c r="R44" s="46"/>
    </row>
    <row r="45" spans="1:18" s="26" customFormat="1" ht="10.5">
      <c r="A45" s="209"/>
      <c r="B45" s="209"/>
      <c r="C45" s="185"/>
      <c r="D45" s="181"/>
      <c r="E45" s="182"/>
      <c r="F45" s="181"/>
      <c r="G45" s="182"/>
      <c r="H45" s="41"/>
      <c r="I45" s="42"/>
      <c r="J45" s="43"/>
      <c r="K45" s="43"/>
      <c r="L45" s="41"/>
      <c r="M45" s="42"/>
      <c r="N45" s="43"/>
      <c r="O45" s="43"/>
      <c r="P45" s="44"/>
      <c r="Q45" s="45"/>
      <c r="R45" s="46"/>
    </row>
    <row r="46" spans="1:18" s="26" customFormat="1" ht="10.5">
      <c r="A46" s="209"/>
      <c r="B46" s="209"/>
      <c r="C46" s="185"/>
      <c r="D46" s="181"/>
      <c r="E46" s="182"/>
      <c r="F46" s="181"/>
      <c r="G46" s="182"/>
      <c r="H46" s="41"/>
      <c r="I46" s="42"/>
      <c r="J46" s="43"/>
      <c r="K46" s="43"/>
      <c r="L46" s="41"/>
      <c r="M46" s="42"/>
      <c r="N46" s="43"/>
      <c r="O46" s="43"/>
      <c r="P46" s="44"/>
      <c r="Q46" s="45"/>
      <c r="R46" s="46"/>
    </row>
    <row r="47" spans="1:18" s="26" customFormat="1" ht="10.5">
      <c r="A47" s="209"/>
      <c r="B47" s="209"/>
      <c r="C47" s="185"/>
      <c r="D47" s="181"/>
      <c r="E47" s="182"/>
      <c r="F47" s="181"/>
      <c r="G47" s="182"/>
      <c r="H47" s="41"/>
      <c r="I47" s="42"/>
      <c r="J47" s="43"/>
      <c r="K47" s="43"/>
      <c r="L47" s="41"/>
      <c r="M47" s="42"/>
      <c r="N47" s="43"/>
      <c r="O47" s="43"/>
      <c r="P47" s="44"/>
      <c r="Q47" s="45"/>
      <c r="R47" s="46"/>
    </row>
    <row r="48" spans="1:18" s="26" customFormat="1" ht="10.5">
      <c r="A48" s="209"/>
      <c r="B48" s="209"/>
      <c r="C48" s="185"/>
      <c r="D48" s="181"/>
      <c r="E48" s="182"/>
      <c r="F48" s="181"/>
      <c r="G48" s="182"/>
      <c r="H48" s="41"/>
      <c r="I48" s="42"/>
      <c r="J48" s="43"/>
      <c r="K48" s="43"/>
      <c r="L48" s="41"/>
      <c r="M48" s="42"/>
      <c r="N48" s="43"/>
      <c r="O48" s="43"/>
      <c r="P48" s="44"/>
      <c r="Q48" s="45"/>
      <c r="R48" s="46"/>
    </row>
    <row r="49" spans="1:18" s="26" customFormat="1" ht="10.5">
      <c r="A49" s="209"/>
      <c r="B49" s="209"/>
      <c r="C49" s="185"/>
      <c r="D49" s="181"/>
      <c r="E49" s="182"/>
      <c r="F49" s="181"/>
      <c r="G49" s="182"/>
      <c r="H49" s="41"/>
      <c r="I49" s="42"/>
      <c r="J49" s="43"/>
      <c r="K49" s="43"/>
      <c r="L49" s="41"/>
      <c r="M49" s="42"/>
      <c r="N49" s="43"/>
      <c r="O49" s="43"/>
      <c r="P49" s="44"/>
      <c r="Q49" s="45"/>
      <c r="R49" s="46"/>
    </row>
    <row r="50" spans="1:18" s="26" customFormat="1" ht="10.5">
      <c r="A50" s="209"/>
      <c r="B50" s="209"/>
      <c r="C50" s="185"/>
      <c r="D50" s="181"/>
      <c r="E50" s="182"/>
      <c r="F50" s="181"/>
      <c r="G50" s="182"/>
      <c r="H50" s="41"/>
      <c r="I50" s="42"/>
      <c r="J50" s="43"/>
      <c r="K50" s="43"/>
      <c r="L50" s="41"/>
      <c r="M50" s="42"/>
      <c r="N50" s="43"/>
      <c r="O50" s="43"/>
      <c r="P50" s="44"/>
      <c r="Q50" s="45"/>
      <c r="R50" s="46"/>
    </row>
    <row r="51" spans="1:18" s="26" customFormat="1" ht="10.5">
      <c r="A51" s="209"/>
      <c r="B51" s="209"/>
      <c r="C51" s="185"/>
      <c r="D51" s="181"/>
      <c r="E51" s="182"/>
      <c r="F51" s="181"/>
      <c r="G51" s="182"/>
      <c r="H51" s="41"/>
      <c r="I51" s="42"/>
      <c r="J51" s="43"/>
      <c r="K51" s="43"/>
      <c r="L51" s="41"/>
      <c r="M51" s="42"/>
      <c r="N51" s="43"/>
      <c r="O51" s="43"/>
      <c r="P51" s="44"/>
      <c r="Q51" s="45"/>
      <c r="R51" s="46"/>
    </row>
    <row r="52" spans="1:18" s="26" customFormat="1" ht="10.5">
      <c r="A52" s="209"/>
      <c r="B52" s="209"/>
      <c r="C52" s="185"/>
      <c r="D52" s="181"/>
      <c r="E52" s="182"/>
      <c r="F52" s="181"/>
      <c r="G52" s="182"/>
      <c r="H52" s="41"/>
      <c r="I52" s="42"/>
      <c r="J52" s="43"/>
      <c r="K52" s="43"/>
      <c r="L52" s="41"/>
      <c r="M52" s="42"/>
      <c r="N52" s="43"/>
      <c r="O52" s="43"/>
      <c r="P52" s="44"/>
      <c r="Q52" s="45"/>
      <c r="R52" s="46"/>
    </row>
    <row r="53" spans="1:18" s="26" customFormat="1" ht="10.5">
      <c r="A53" s="209"/>
      <c r="B53" s="209"/>
      <c r="C53" s="185"/>
      <c r="D53" s="181"/>
      <c r="E53" s="182"/>
      <c r="F53" s="181"/>
      <c r="G53" s="182"/>
      <c r="H53" s="41"/>
      <c r="I53" s="42"/>
      <c r="J53" s="43"/>
      <c r="K53" s="43"/>
      <c r="L53" s="41"/>
      <c r="M53" s="42"/>
      <c r="N53" s="43"/>
      <c r="O53" s="43"/>
      <c r="P53" s="44"/>
      <c r="Q53" s="45"/>
      <c r="R53" s="46"/>
    </row>
    <row r="54" spans="1:18" s="26" customFormat="1" ht="10.5">
      <c r="A54" s="209"/>
      <c r="B54" s="209"/>
      <c r="C54" s="185"/>
      <c r="D54" s="181"/>
      <c r="E54" s="182"/>
      <c r="F54" s="181"/>
      <c r="G54" s="182"/>
      <c r="H54" s="41"/>
      <c r="I54" s="42"/>
      <c r="J54" s="43"/>
      <c r="K54" s="43"/>
      <c r="L54" s="41"/>
      <c r="M54" s="42"/>
      <c r="N54" s="43"/>
      <c r="O54" s="43"/>
      <c r="P54" s="44"/>
      <c r="Q54" s="45"/>
      <c r="R54" s="46"/>
    </row>
    <row r="55" spans="1:18" s="26" customFormat="1" ht="34.5" customHeight="1">
      <c r="A55" s="209"/>
      <c r="B55" s="209"/>
      <c r="C55" s="185"/>
      <c r="D55" s="181"/>
      <c r="E55" s="182"/>
      <c r="F55" s="181"/>
      <c r="G55" s="182"/>
      <c r="H55" s="41"/>
      <c r="I55" s="43"/>
      <c r="J55" s="41"/>
      <c r="K55" s="42"/>
      <c r="L55" s="43"/>
      <c r="M55" s="42"/>
      <c r="N55" s="43"/>
      <c r="O55" s="42"/>
      <c r="P55" s="47"/>
      <c r="Q55" s="45"/>
      <c r="R55" s="46"/>
    </row>
    <row r="56" spans="1:18" s="26" customFormat="1" ht="34.5" customHeight="1">
      <c r="A56" s="209"/>
      <c r="B56" s="209"/>
      <c r="C56" s="185"/>
      <c r="D56" s="181"/>
      <c r="E56" s="182"/>
      <c r="F56" s="181"/>
      <c r="G56" s="182"/>
      <c r="H56" s="41"/>
      <c r="I56" s="43"/>
      <c r="J56" s="41"/>
      <c r="K56" s="42"/>
      <c r="L56" s="43"/>
      <c r="M56" s="43"/>
      <c r="N56" s="41"/>
      <c r="O56" s="42"/>
      <c r="P56" s="45"/>
      <c r="Q56" s="44"/>
      <c r="R56" s="52"/>
    </row>
    <row r="57" spans="1:18" s="26" customFormat="1" ht="34.5" customHeight="1">
      <c r="A57" s="209"/>
      <c r="B57" s="209"/>
      <c r="C57" s="185"/>
      <c r="D57" s="181"/>
      <c r="E57" s="182"/>
      <c r="F57" s="181"/>
      <c r="G57" s="182"/>
      <c r="H57" s="41"/>
      <c r="I57" s="43"/>
      <c r="J57" s="41"/>
      <c r="K57" s="42"/>
      <c r="L57" s="43"/>
      <c r="M57" s="43"/>
      <c r="N57" s="41"/>
      <c r="O57" s="42"/>
      <c r="P57" s="45"/>
      <c r="Q57" s="44"/>
      <c r="R57" s="52"/>
    </row>
    <row r="58" spans="1:18" s="26" customFormat="1" ht="46.5" customHeight="1">
      <c r="A58" s="209"/>
      <c r="B58" s="209"/>
      <c r="C58" s="185"/>
      <c r="D58" s="181"/>
      <c r="E58" s="182"/>
      <c r="F58" s="181"/>
      <c r="G58" s="182"/>
      <c r="H58" s="41"/>
      <c r="I58" s="43"/>
      <c r="J58" s="41"/>
      <c r="K58" s="42"/>
      <c r="L58" s="43"/>
      <c r="M58" s="43"/>
      <c r="N58" s="41"/>
      <c r="O58" s="42"/>
      <c r="P58" s="45"/>
      <c r="Q58" s="44"/>
      <c r="R58" s="52"/>
    </row>
    <row r="59" spans="1:18" s="26" customFormat="1" ht="46.5" customHeight="1">
      <c r="A59" s="209"/>
      <c r="B59" s="209"/>
      <c r="C59" s="185"/>
      <c r="D59" s="181"/>
      <c r="E59" s="182"/>
      <c r="F59" s="181"/>
      <c r="G59" s="182"/>
      <c r="H59" s="41"/>
      <c r="I59" s="43"/>
      <c r="J59" s="41"/>
      <c r="K59" s="42"/>
      <c r="L59" s="43"/>
      <c r="M59" s="43"/>
      <c r="N59" s="41"/>
      <c r="O59" s="42"/>
      <c r="P59" s="45"/>
      <c r="Q59" s="44"/>
      <c r="R59" s="52"/>
    </row>
    <row r="60" spans="1:18" s="26" customFormat="1" ht="46.5" customHeight="1">
      <c r="A60" s="209"/>
      <c r="B60" s="209"/>
      <c r="C60" s="185"/>
      <c r="D60" s="181"/>
      <c r="E60" s="182"/>
      <c r="F60" s="181"/>
      <c r="G60" s="182"/>
      <c r="H60" s="41"/>
      <c r="I60" s="43"/>
      <c r="J60" s="41"/>
      <c r="K60" s="42"/>
      <c r="L60" s="43"/>
      <c r="M60" s="43"/>
      <c r="N60" s="41"/>
      <c r="O60" s="42"/>
      <c r="P60" s="45"/>
      <c r="Q60" s="44"/>
      <c r="R60" s="52"/>
    </row>
    <row r="61" spans="1:18" s="26" customFormat="1" ht="2.25" customHeight="1">
      <c r="A61" s="209"/>
      <c r="B61" s="209"/>
      <c r="C61" s="185"/>
      <c r="D61" s="48"/>
      <c r="E61" s="49"/>
      <c r="F61" s="50"/>
      <c r="G61" s="51"/>
      <c r="H61" s="53"/>
      <c r="I61" s="54"/>
      <c r="J61" s="53"/>
      <c r="K61" s="57"/>
      <c r="L61" s="54"/>
      <c r="M61" s="54"/>
      <c r="N61" s="54"/>
      <c r="O61" s="57"/>
      <c r="P61" s="55"/>
      <c r="Q61" s="55"/>
      <c r="R61" s="56"/>
    </row>
    <row r="62" spans="9:11" ht="15">
      <c r="I62" s="20"/>
      <c r="J62" s="20"/>
      <c r="K62" s="20"/>
    </row>
    <row r="63" ht="15">
      <c r="B63" s="1" t="s">
        <v>33</v>
      </c>
    </row>
    <row r="65" spans="1:17" ht="28.5" customHeight="1">
      <c r="A65" s="196" t="s">
        <v>35</v>
      </c>
      <c r="B65" s="196"/>
      <c r="C65" s="196"/>
      <c r="D65" s="197" t="s">
        <v>63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9"/>
      <c r="P65" s="169" t="s">
        <v>34</v>
      </c>
      <c r="Q65" s="170"/>
    </row>
    <row r="66" spans="1:17" ht="15">
      <c r="A66" s="196"/>
      <c r="B66" s="196"/>
      <c r="C66" s="196"/>
      <c r="D66" s="8">
        <v>1</v>
      </c>
      <c r="E66" s="8">
        <v>2</v>
      </c>
      <c r="F66" s="8">
        <v>3</v>
      </c>
      <c r="G66" s="8">
        <v>4</v>
      </c>
      <c r="H66" s="8">
        <v>5</v>
      </c>
      <c r="I66" s="8">
        <v>6</v>
      </c>
      <c r="J66" s="8">
        <v>7</v>
      </c>
      <c r="K66" s="8">
        <v>8</v>
      </c>
      <c r="L66" s="8">
        <v>9</v>
      </c>
      <c r="M66" s="8">
        <v>10</v>
      </c>
      <c r="N66" s="8">
        <v>11</v>
      </c>
      <c r="O66" s="8">
        <v>12</v>
      </c>
      <c r="P66" s="203"/>
      <c r="Q66" s="204"/>
    </row>
    <row r="67" spans="1:17" ht="118.5" customHeight="1">
      <c r="A67" s="205" t="s">
        <v>113</v>
      </c>
      <c r="B67" s="205"/>
      <c r="C67" s="206"/>
      <c r="D67" s="7">
        <f aca="true" t="shared" si="0" ref="D67:P67">D68</f>
        <v>1235</v>
      </c>
      <c r="E67" s="7">
        <f t="shared" si="0"/>
        <v>1235</v>
      </c>
      <c r="F67" s="7">
        <f t="shared" si="0"/>
        <v>1235</v>
      </c>
      <c r="G67" s="7">
        <f t="shared" si="0"/>
        <v>1235</v>
      </c>
      <c r="H67" s="7">
        <f t="shared" si="0"/>
        <v>1235</v>
      </c>
      <c r="I67" s="7">
        <f t="shared" si="0"/>
        <v>1235</v>
      </c>
      <c r="J67" s="7">
        <f t="shared" si="0"/>
        <v>1235</v>
      </c>
      <c r="K67" s="7">
        <f t="shared" si="0"/>
        <v>1235</v>
      </c>
      <c r="L67" s="7">
        <f t="shared" si="0"/>
        <v>1264</v>
      </c>
      <c r="M67" s="7">
        <f t="shared" si="0"/>
        <v>1264</v>
      </c>
      <c r="N67" s="7">
        <f t="shared" si="0"/>
        <v>1264</v>
      </c>
      <c r="O67" s="7">
        <f t="shared" si="0"/>
        <v>1264</v>
      </c>
      <c r="P67" s="207">
        <f t="shared" si="0"/>
        <v>1245</v>
      </c>
      <c r="Q67" s="208"/>
    </row>
    <row r="68" spans="1:17" ht="50.25" customHeight="1">
      <c r="A68" s="210" t="s">
        <v>147</v>
      </c>
      <c r="B68" s="205"/>
      <c r="C68" s="206"/>
      <c r="D68" s="33">
        <v>1235</v>
      </c>
      <c r="E68" s="13">
        <f aca="true" t="shared" si="1" ref="E68:O68">D68</f>
        <v>1235</v>
      </c>
      <c r="F68" s="13">
        <f t="shared" si="1"/>
        <v>1235</v>
      </c>
      <c r="G68" s="13">
        <f t="shared" si="1"/>
        <v>1235</v>
      </c>
      <c r="H68" s="13">
        <f t="shared" si="1"/>
        <v>1235</v>
      </c>
      <c r="I68" s="13">
        <f t="shared" si="1"/>
        <v>1235</v>
      </c>
      <c r="J68" s="13">
        <f t="shared" si="1"/>
        <v>1235</v>
      </c>
      <c r="K68" s="13">
        <f t="shared" si="1"/>
        <v>1235</v>
      </c>
      <c r="L68" s="33">
        <v>1264</v>
      </c>
      <c r="M68" s="13">
        <f t="shared" si="1"/>
        <v>1264</v>
      </c>
      <c r="N68" s="13">
        <f t="shared" si="1"/>
        <v>1264</v>
      </c>
      <c r="O68" s="13">
        <f t="shared" si="1"/>
        <v>1264</v>
      </c>
      <c r="P68" s="211">
        <f>ROUND(SUM(D68:O68)/12,0)</f>
        <v>1245</v>
      </c>
      <c r="Q68" s="212"/>
    </row>
    <row r="69" spans="1:17" ht="34.5" customHeight="1">
      <c r="A69" s="210" t="s">
        <v>148</v>
      </c>
      <c r="B69" s="205"/>
      <c r="C69" s="206"/>
      <c r="D69" s="13">
        <f>D68</f>
        <v>1235</v>
      </c>
      <c r="E69" s="13">
        <f aca="true" t="shared" si="2" ref="E69:O69">D69</f>
        <v>1235</v>
      </c>
      <c r="F69" s="13">
        <f t="shared" si="2"/>
        <v>1235</v>
      </c>
      <c r="G69" s="13">
        <f t="shared" si="2"/>
        <v>1235</v>
      </c>
      <c r="H69" s="13">
        <f t="shared" si="2"/>
        <v>1235</v>
      </c>
      <c r="I69" s="13">
        <f t="shared" si="2"/>
        <v>1235</v>
      </c>
      <c r="J69" s="13">
        <f t="shared" si="2"/>
        <v>1235</v>
      </c>
      <c r="K69" s="13">
        <f>J69</f>
        <v>1235</v>
      </c>
      <c r="L69" s="13">
        <f>L68</f>
        <v>1264</v>
      </c>
      <c r="M69" s="13">
        <f t="shared" si="2"/>
        <v>1264</v>
      </c>
      <c r="N69" s="13">
        <f t="shared" si="2"/>
        <v>1264</v>
      </c>
      <c r="O69" s="13">
        <f t="shared" si="2"/>
        <v>1264</v>
      </c>
      <c r="P69" s="211">
        <f>ROUND(SUM(D69:O69)/12,0)</f>
        <v>1245</v>
      </c>
      <c r="Q69" s="212"/>
    </row>
    <row r="70" spans="1:17" ht="42" customHeight="1">
      <c r="A70" s="210" t="s">
        <v>149</v>
      </c>
      <c r="B70" s="205"/>
      <c r="C70" s="206"/>
      <c r="D70" s="13">
        <f>D69</f>
        <v>1235</v>
      </c>
      <c r="E70" s="13">
        <f aca="true" t="shared" si="3" ref="E70:O70">D70</f>
        <v>1235</v>
      </c>
      <c r="F70" s="13">
        <f t="shared" si="3"/>
        <v>1235</v>
      </c>
      <c r="G70" s="13">
        <f t="shared" si="3"/>
        <v>1235</v>
      </c>
      <c r="H70" s="13">
        <f t="shared" si="3"/>
        <v>1235</v>
      </c>
      <c r="I70" s="13">
        <f t="shared" si="3"/>
        <v>1235</v>
      </c>
      <c r="J70" s="13">
        <f t="shared" si="3"/>
        <v>1235</v>
      </c>
      <c r="K70" s="13">
        <f t="shared" si="3"/>
        <v>1235</v>
      </c>
      <c r="L70" s="13">
        <f>L68</f>
        <v>1264</v>
      </c>
      <c r="M70" s="13">
        <f t="shared" si="3"/>
        <v>1264</v>
      </c>
      <c r="N70" s="13">
        <f t="shared" si="3"/>
        <v>1264</v>
      </c>
      <c r="O70" s="13">
        <f t="shared" si="3"/>
        <v>1264</v>
      </c>
      <c r="P70" s="211">
        <f>ROUND(SUM(D70:O70)/12,0)</f>
        <v>1245</v>
      </c>
      <c r="Q70" s="212"/>
    </row>
    <row r="71" ht="15" hidden="1"/>
    <row r="72" ht="15.75" thickBot="1"/>
    <row r="73" spans="1:2" ht="15">
      <c r="A73" s="10" t="s">
        <v>64</v>
      </c>
      <c r="B73" s="11" t="s">
        <v>154</v>
      </c>
    </row>
    <row r="75" ht="15" hidden="1"/>
    <row r="76" spans="1:18" ht="27.75" customHeight="1">
      <c r="A76" s="213" t="s">
        <v>40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</row>
    <row r="79" ht="15">
      <c r="B79" s="1" t="s">
        <v>37</v>
      </c>
    </row>
    <row r="81" ht="15">
      <c r="B81" s="1" t="s">
        <v>86</v>
      </c>
    </row>
    <row r="83" spans="1:17" ht="15" customHeight="1">
      <c r="A83" s="196" t="s">
        <v>38</v>
      </c>
      <c r="B83" s="196"/>
      <c r="C83" s="196"/>
      <c r="D83" s="197" t="s">
        <v>63</v>
      </c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9"/>
      <c r="P83" s="169" t="s">
        <v>39</v>
      </c>
      <c r="Q83" s="170"/>
    </row>
    <row r="84" spans="1:17" ht="15">
      <c r="A84" s="196"/>
      <c r="B84" s="196"/>
      <c r="C84" s="196"/>
      <c r="D84" s="8">
        <v>1</v>
      </c>
      <c r="E84" s="8">
        <v>2</v>
      </c>
      <c r="F84" s="8">
        <v>3</v>
      </c>
      <c r="G84" s="8">
        <v>4</v>
      </c>
      <c r="H84" s="8">
        <v>5</v>
      </c>
      <c r="I84" s="8">
        <v>6</v>
      </c>
      <c r="J84" s="8">
        <v>7</v>
      </c>
      <c r="K84" s="8">
        <v>8</v>
      </c>
      <c r="L84" s="8">
        <v>9</v>
      </c>
      <c r="M84" s="8">
        <v>10</v>
      </c>
      <c r="N84" s="8">
        <v>11</v>
      </c>
      <c r="O84" s="8">
        <v>12</v>
      </c>
      <c r="P84" s="203"/>
      <c r="Q84" s="204"/>
    </row>
    <row r="85" spans="1:17" ht="91.5" customHeight="1">
      <c r="A85" s="205" t="s">
        <v>114</v>
      </c>
      <c r="B85" s="205"/>
      <c r="C85" s="206"/>
      <c r="D85" s="101">
        <f>D108+D120</f>
        <v>1978452.4100000001</v>
      </c>
      <c r="E85" s="101">
        <f aca="true" t="shared" si="4" ref="E85:P85">E108+E120</f>
        <v>3259930.15</v>
      </c>
      <c r="F85" s="101">
        <f t="shared" si="4"/>
        <v>3166588.44</v>
      </c>
      <c r="G85" s="101">
        <f t="shared" si="4"/>
        <v>3778954.22</v>
      </c>
      <c r="H85" s="101">
        <f t="shared" si="4"/>
        <v>5422919.56</v>
      </c>
      <c r="I85" s="101">
        <f t="shared" si="4"/>
        <v>4073570.22</v>
      </c>
      <c r="J85" s="101">
        <f t="shared" si="4"/>
        <v>1797501.3299999998</v>
      </c>
      <c r="K85" s="101">
        <f t="shared" si="4"/>
        <v>1420459.5199999998</v>
      </c>
      <c r="L85" s="101">
        <f t="shared" si="4"/>
        <v>2145492.1500000004</v>
      </c>
      <c r="M85" s="101">
        <f t="shared" si="4"/>
        <v>3867426.5500000003</v>
      </c>
      <c r="N85" s="101">
        <f t="shared" si="4"/>
        <v>3581829.28</v>
      </c>
      <c r="O85" s="101">
        <f t="shared" si="4"/>
        <v>5567003.17</v>
      </c>
      <c r="P85" s="214">
        <f t="shared" si="4"/>
        <v>40060126.99999999</v>
      </c>
      <c r="Q85" s="215"/>
    </row>
    <row r="86" ht="15" hidden="1"/>
    <row r="87" ht="15.75" thickBot="1"/>
    <row r="88" spans="1:13" ht="15">
      <c r="A88" s="10" t="s">
        <v>64</v>
      </c>
      <c r="B88" s="11" t="s">
        <v>154</v>
      </c>
      <c r="M88" s="1" t="s">
        <v>93</v>
      </c>
    </row>
    <row r="90" spans="1:18" ht="29.25" customHeight="1">
      <c r="A90" s="213" t="s">
        <v>40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</row>
    <row r="94" ht="15">
      <c r="B94" s="1" t="s">
        <v>41</v>
      </c>
    </row>
    <row r="96" spans="1:17" ht="15" customHeight="1">
      <c r="A96" s="196" t="s">
        <v>35</v>
      </c>
      <c r="B96" s="196"/>
      <c r="C96" s="196" t="s">
        <v>42</v>
      </c>
      <c r="D96" s="197" t="s">
        <v>65</v>
      </c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9"/>
      <c r="P96" s="196" t="s">
        <v>39</v>
      </c>
      <c r="Q96" s="196"/>
    </row>
    <row r="97" spans="1:17" ht="41.25" customHeight="1">
      <c r="A97" s="196"/>
      <c r="B97" s="196"/>
      <c r="C97" s="196"/>
      <c r="D97" s="8">
        <v>1</v>
      </c>
      <c r="E97" s="8">
        <v>2</v>
      </c>
      <c r="F97" s="8">
        <v>3</v>
      </c>
      <c r="G97" s="8">
        <v>4</v>
      </c>
      <c r="H97" s="8">
        <v>5</v>
      </c>
      <c r="I97" s="8">
        <v>6</v>
      </c>
      <c r="J97" s="8">
        <v>7</v>
      </c>
      <c r="K97" s="8">
        <v>8</v>
      </c>
      <c r="L97" s="8">
        <v>9</v>
      </c>
      <c r="M97" s="8">
        <v>10</v>
      </c>
      <c r="N97" s="8">
        <v>11</v>
      </c>
      <c r="O97" s="8">
        <v>12</v>
      </c>
      <c r="P97" s="196"/>
      <c r="Q97" s="196"/>
    </row>
    <row r="98" spans="1:17" ht="41.25" customHeight="1">
      <c r="A98" s="216" t="s">
        <v>143</v>
      </c>
      <c r="B98" s="217"/>
      <c r="C98" s="12" t="s">
        <v>43</v>
      </c>
      <c r="D98" s="34">
        <f aca="true" t="shared" si="5" ref="D98:O98">ROUND(D99/D67,2)</f>
        <v>0</v>
      </c>
      <c r="E98" s="34">
        <f t="shared" si="5"/>
        <v>0</v>
      </c>
      <c r="F98" s="34">
        <f t="shared" si="5"/>
        <v>0</v>
      </c>
      <c r="G98" s="34">
        <f t="shared" si="5"/>
        <v>0</v>
      </c>
      <c r="H98" s="34">
        <f t="shared" si="5"/>
        <v>0</v>
      </c>
      <c r="I98" s="34">
        <f t="shared" si="5"/>
        <v>0</v>
      </c>
      <c r="J98" s="34">
        <f t="shared" si="5"/>
        <v>0</v>
      </c>
      <c r="K98" s="34">
        <f t="shared" si="5"/>
        <v>0</v>
      </c>
      <c r="L98" s="34">
        <f t="shared" si="5"/>
        <v>0</v>
      </c>
      <c r="M98" s="34">
        <f t="shared" si="5"/>
        <v>0</v>
      </c>
      <c r="N98" s="34">
        <f t="shared" si="5"/>
        <v>0</v>
      </c>
      <c r="O98" s="34">
        <f t="shared" si="5"/>
        <v>0</v>
      </c>
      <c r="P98" s="220">
        <f aca="true" t="shared" si="6" ref="P98:P108">SUM(D98:O98)</f>
        <v>0</v>
      </c>
      <c r="Q98" s="220"/>
    </row>
    <row r="99" spans="1:17" ht="72.75" customHeight="1">
      <c r="A99" s="218"/>
      <c r="B99" s="219"/>
      <c r="C99" s="12" t="s">
        <v>44</v>
      </c>
      <c r="D99" s="35">
        <f>бланк!C53</f>
        <v>0</v>
      </c>
      <c r="E99" s="35">
        <f>бланк!D53</f>
        <v>0</v>
      </c>
      <c r="F99" s="35">
        <f>бланк!E53</f>
        <v>0</v>
      </c>
      <c r="G99" s="35">
        <f>бланк!G53</f>
        <v>0</v>
      </c>
      <c r="H99" s="35">
        <f>бланк!H53</f>
        <v>0</v>
      </c>
      <c r="I99" s="35">
        <f>бланк!I53</f>
        <v>0</v>
      </c>
      <c r="J99" s="35">
        <f>бланк!K53</f>
        <v>0</v>
      </c>
      <c r="K99" s="35">
        <f>бланк!L53</f>
        <v>0</v>
      </c>
      <c r="L99" s="35">
        <f>бланк!M53</f>
        <v>0</v>
      </c>
      <c r="M99" s="35">
        <f>бланк!O53</f>
        <v>0</v>
      </c>
      <c r="N99" s="35">
        <f>бланк!P53</f>
        <v>0</v>
      </c>
      <c r="O99" s="35">
        <f>бланк!Q53</f>
        <v>0</v>
      </c>
      <c r="P99" s="220">
        <f t="shared" si="6"/>
        <v>0</v>
      </c>
      <c r="Q99" s="220"/>
    </row>
    <row r="100" spans="1:17" ht="54.75" customHeight="1">
      <c r="A100" s="216" t="s">
        <v>144</v>
      </c>
      <c r="B100" s="217"/>
      <c r="C100" s="12" t="s">
        <v>43</v>
      </c>
      <c r="D100" s="34">
        <f aca="true" t="shared" si="7" ref="D100:O100">ROUND(D101/D67,2)</f>
        <v>411.16</v>
      </c>
      <c r="E100" s="34">
        <f t="shared" si="7"/>
        <v>1338.31</v>
      </c>
      <c r="F100" s="34">
        <f t="shared" si="7"/>
        <v>1338.31</v>
      </c>
      <c r="G100" s="34">
        <f t="shared" si="7"/>
        <v>1498.55</v>
      </c>
      <c r="H100" s="34">
        <f t="shared" si="7"/>
        <v>2676.63</v>
      </c>
      <c r="I100" s="34">
        <f t="shared" si="7"/>
        <v>1761.84</v>
      </c>
      <c r="J100" s="34">
        <f t="shared" si="7"/>
        <v>746.96</v>
      </c>
      <c r="K100" s="34">
        <f t="shared" si="7"/>
        <v>549.8</v>
      </c>
      <c r="L100" s="34">
        <f t="shared" si="7"/>
        <v>1167.56</v>
      </c>
      <c r="M100" s="34">
        <f t="shared" si="7"/>
        <v>1344.48</v>
      </c>
      <c r="N100" s="34">
        <f t="shared" si="7"/>
        <v>1501.8</v>
      </c>
      <c r="O100" s="34">
        <f t="shared" si="7"/>
        <v>2275.92</v>
      </c>
      <c r="P100" s="220">
        <f t="shared" si="6"/>
        <v>16611.319999999996</v>
      </c>
      <c r="Q100" s="220"/>
    </row>
    <row r="101" spans="1:17" ht="64.5" customHeight="1">
      <c r="A101" s="218"/>
      <c r="B101" s="219"/>
      <c r="C101" s="12" t="s">
        <v>44</v>
      </c>
      <c r="D101" s="35">
        <f>бланк!C52</f>
        <v>507778</v>
      </c>
      <c r="E101" s="35">
        <f>бланк!D52</f>
        <v>1652817</v>
      </c>
      <c r="F101" s="35">
        <f>бланк!E52</f>
        <v>1652817</v>
      </c>
      <c r="G101" s="35">
        <f>бланк!G52</f>
        <v>1850709</v>
      </c>
      <c r="H101" s="35">
        <f>бланк!H52</f>
        <v>3305634</v>
      </c>
      <c r="I101" s="35">
        <f>бланк!I52</f>
        <v>2175873</v>
      </c>
      <c r="J101" s="35">
        <f>бланк!K52</f>
        <v>922500</v>
      </c>
      <c r="K101" s="35">
        <f>бланк!L52</f>
        <v>679004.37</v>
      </c>
      <c r="L101" s="35">
        <f>бланк!M52</f>
        <v>1475798</v>
      </c>
      <c r="M101" s="35">
        <f>бланк!O52</f>
        <v>1699429</v>
      </c>
      <c r="N101" s="35">
        <f>бланк!P52</f>
        <v>1898274</v>
      </c>
      <c r="O101" s="35">
        <f>бланк!Q52</f>
        <v>2876760</v>
      </c>
      <c r="P101" s="220">
        <f t="shared" si="6"/>
        <v>20697393.369999997</v>
      </c>
      <c r="Q101" s="220"/>
    </row>
    <row r="102" spans="1:17" ht="41.25" customHeight="1">
      <c r="A102" s="221" t="s">
        <v>145</v>
      </c>
      <c r="B102" s="221"/>
      <c r="C102" s="12" t="s">
        <v>43</v>
      </c>
      <c r="D102" s="34">
        <f aca="true" t="shared" si="8" ref="D102:O102">ROUND(D103/D67,2)</f>
        <v>355.85</v>
      </c>
      <c r="E102" s="34">
        <f t="shared" si="8"/>
        <v>514.19</v>
      </c>
      <c r="F102" s="34">
        <f t="shared" si="8"/>
        <v>470.57</v>
      </c>
      <c r="G102" s="34">
        <f t="shared" si="8"/>
        <v>387.22</v>
      </c>
      <c r="H102" s="34">
        <f t="shared" si="8"/>
        <v>449.21</v>
      </c>
      <c r="I102" s="34">
        <f t="shared" si="8"/>
        <v>342.47</v>
      </c>
      <c r="J102" s="34">
        <f t="shared" si="8"/>
        <v>106.34</v>
      </c>
      <c r="K102" s="34">
        <f t="shared" si="8"/>
        <v>415.8</v>
      </c>
      <c r="L102" s="34">
        <f t="shared" si="8"/>
        <v>343.2</v>
      </c>
      <c r="M102" s="34">
        <f t="shared" si="8"/>
        <v>467.18</v>
      </c>
      <c r="N102" s="34">
        <f t="shared" si="8"/>
        <v>507.35</v>
      </c>
      <c r="O102" s="34">
        <f t="shared" si="8"/>
        <v>703.55</v>
      </c>
      <c r="P102" s="220">
        <f t="shared" si="6"/>
        <v>5062.93</v>
      </c>
      <c r="Q102" s="220"/>
    </row>
    <row r="103" spans="1:17" ht="54" customHeight="1">
      <c r="A103" s="221"/>
      <c r="B103" s="221"/>
      <c r="C103" s="12" t="s">
        <v>44</v>
      </c>
      <c r="D103" s="35">
        <f>бланк!C49</f>
        <v>439471.50999999995</v>
      </c>
      <c r="E103" s="35">
        <f>бланк!D49</f>
        <v>635027.0399999999</v>
      </c>
      <c r="F103" s="35">
        <f>бланк!E49</f>
        <v>581158.57</v>
      </c>
      <c r="G103" s="35">
        <f>бланк!G49</f>
        <v>478216.82</v>
      </c>
      <c r="H103" s="35">
        <f>бланк!H49</f>
        <v>554776.76</v>
      </c>
      <c r="I103" s="35">
        <f>бланк!I49</f>
        <v>422948.57</v>
      </c>
      <c r="J103" s="35">
        <f>бланк!K49</f>
        <v>131326.38</v>
      </c>
      <c r="K103" s="35">
        <f>бланк!L49</f>
        <v>513518.87999999995</v>
      </c>
      <c r="L103" s="35">
        <f>бланк!M49</f>
        <v>433798.49</v>
      </c>
      <c r="M103" s="35">
        <f>бланк!O49</f>
        <v>590519.93</v>
      </c>
      <c r="N103" s="35">
        <f>бланк!P49</f>
        <v>641285.0000000001</v>
      </c>
      <c r="O103" s="35">
        <f>бланк!Q49</f>
        <v>889281.33</v>
      </c>
      <c r="P103" s="220">
        <f t="shared" si="6"/>
        <v>6311329.279999998</v>
      </c>
      <c r="Q103" s="220"/>
    </row>
    <row r="104" spans="1:17" ht="40.5" customHeight="1" hidden="1">
      <c r="A104" s="221" t="s">
        <v>87</v>
      </c>
      <c r="B104" s="221"/>
      <c r="C104" s="62" t="s">
        <v>43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220">
        <f t="shared" si="6"/>
        <v>0</v>
      </c>
      <c r="Q104" s="220"/>
    </row>
    <row r="105" spans="1:17" ht="52.5" customHeight="1" hidden="1">
      <c r="A105" s="221"/>
      <c r="B105" s="221"/>
      <c r="C105" s="62" t="s">
        <v>44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220">
        <f t="shared" si="6"/>
        <v>0</v>
      </c>
      <c r="Q105" s="220"/>
    </row>
    <row r="106" spans="1:17" ht="52.5" customHeight="1">
      <c r="A106" s="221" t="s">
        <v>146</v>
      </c>
      <c r="B106" s="221"/>
      <c r="C106" s="12" t="s">
        <v>43</v>
      </c>
      <c r="D106" s="34">
        <f aca="true" t="shared" si="9" ref="D106:O106">ROUND(D107/D67,2)</f>
        <v>193.39</v>
      </c>
      <c r="E106" s="34">
        <f t="shared" si="9"/>
        <v>629.49</v>
      </c>
      <c r="F106" s="34">
        <f t="shared" si="9"/>
        <v>629.49</v>
      </c>
      <c r="G106" s="34">
        <f t="shared" si="9"/>
        <v>629.49</v>
      </c>
      <c r="H106" s="34">
        <f t="shared" si="9"/>
        <v>1258.98</v>
      </c>
      <c r="I106" s="34">
        <f t="shared" si="9"/>
        <v>1189.86</v>
      </c>
      <c r="J106" s="34">
        <f t="shared" si="9"/>
        <v>113.44</v>
      </c>
      <c r="K106" s="34">
        <f t="shared" si="9"/>
        <v>181.11</v>
      </c>
      <c r="L106" s="34">
        <f t="shared" si="9"/>
        <v>176.65</v>
      </c>
      <c r="M106" s="34">
        <f t="shared" si="9"/>
        <v>683.92</v>
      </c>
      <c r="N106" s="34">
        <f t="shared" si="9"/>
        <v>683.92</v>
      </c>
      <c r="O106" s="34">
        <f t="shared" si="9"/>
        <v>1273.12</v>
      </c>
      <c r="P106" s="220">
        <f t="shared" si="6"/>
        <v>7642.859999999999</v>
      </c>
      <c r="Q106" s="220"/>
    </row>
    <row r="107" spans="1:17" ht="52.5" customHeight="1">
      <c r="A107" s="221"/>
      <c r="B107" s="221"/>
      <c r="C107" s="12" t="s">
        <v>44</v>
      </c>
      <c r="D107" s="35">
        <f>бланк!C48</f>
        <v>238838</v>
      </c>
      <c r="E107" s="35">
        <f>бланк!D48</f>
        <v>777418</v>
      </c>
      <c r="F107" s="35">
        <f>бланк!E48</f>
        <v>777419</v>
      </c>
      <c r="G107" s="35">
        <f>бланк!G48</f>
        <v>777419</v>
      </c>
      <c r="H107" s="35">
        <f>бланк!H48</f>
        <v>1554838</v>
      </c>
      <c r="I107" s="35">
        <f>бланк!I48</f>
        <v>1469480</v>
      </c>
      <c r="J107" s="35">
        <f>бланк!K48</f>
        <v>140101</v>
      </c>
      <c r="K107" s="35">
        <f>бланк!L48</f>
        <v>223667.63</v>
      </c>
      <c r="L107" s="35">
        <f>бланк!M48</f>
        <v>223282</v>
      </c>
      <c r="M107" s="35">
        <f>бланк!O48</f>
        <v>864469</v>
      </c>
      <c r="N107" s="35">
        <f>бланк!P48</f>
        <v>864469</v>
      </c>
      <c r="O107" s="35">
        <f>бланк!Q48</f>
        <v>1609223</v>
      </c>
      <c r="P107" s="220">
        <f t="shared" si="6"/>
        <v>9520623.629999999</v>
      </c>
      <c r="Q107" s="220"/>
    </row>
    <row r="108" spans="1:17" ht="77.25" customHeight="1">
      <c r="A108" s="221" t="s">
        <v>45</v>
      </c>
      <c r="B108" s="221"/>
      <c r="C108" s="62" t="s">
        <v>46</v>
      </c>
      <c r="D108" s="34">
        <f aca="true" t="shared" si="10" ref="D108:O108">D105+D103+D99+D107+D101</f>
        <v>1186087.51</v>
      </c>
      <c r="E108" s="34">
        <f t="shared" si="10"/>
        <v>3065262.04</v>
      </c>
      <c r="F108" s="34">
        <f t="shared" si="10"/>
        <v>3011394.57</v>
      </c>
      <c r="G108" s="34">
        <f t="shared" si="10"/>
        <v>3106344.8200000003</v>
      </c>
      <c r="H108" s="34">
        <f t="shared" si="10"/>
        <v>5415248.76</v>
      </c>
      <c r="I108" s="34">
        <f t="shared" si="10"/>
        <v>4068301.5700000003</v>
      </c>
      <c r="J108" s="34">
        <f t="shared" si="10"/>
        <v>1193927.38</v>
      </c>
      <c r="K108" s="34">
        <f t="shared" si="10"/>
        <v>1416190.88</v>
      </c>
      <c r="L108" s="34">
        <f t="shared" si="10"/>
        <v>2132878.49</v>
      </c>
      <c r="M108" s="34">
        <f t="shared" si="10"/>
        <v>3154417.93</v>
      </c>
      <c r="N108" s="34">
        <f t="shared" si="10"/>
        <v>3404028</v>
      </c>
      <c r="O108" s="34">
        <f t="shared" si="10"/>
        <v>5375264.33</v>
      </c>
      <c r="P108" s="220">
        <f t="shared" si="6"/>
        <v>36529346.279999994</v>
      </c>
      <c r="Q108" s="220"/>
    </row>
    <row r="109" ht="15.75" thickBot="1"/>
    <row r="110" spans="1:2" ht="21" customHeight="1">
      <c r="A110" s="10" t="s">
        <v>64</v>
      </c>
      <c r="B110" s="11" t="s">
        <v>154</v>
      </c>
    </row>
    <row r="113" spans="1:18" ht="29.25" customHeight="1">
      <c r="A113" s="213" t="s">
        <v>40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</row>
    <row r="116" ht="15">
      <c r="B116" s="1" t="s">
        <v>47</v>
      </c>
    </row>
    <row r="118" spans="1:17" ht="15" customHeight="1">
      <c r="A118" s="196" t="s">
        <v>35</v>
      </c>
      <c r="B118" s="196"/>
      <c r="C118" s="196"/>
      <c r="D118" s="197" t="s">
        <v>65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9"/>
      <c r="P118" s="169" t="s">
        <v>39</v>
      </c>
      <c r="Q118" s="170"/>
    </row>
    <row r="119" spans="1:17" ht="15">
      <c r="A119" s="196"/>
      <c r="B119" s="196"/>
      <c r="C119" s="196"/>
      <c r="D119" s="8">
        <v>1</v>
      </c>
      <c r="E119" s="8">
        <v>2</v>
      </c>
      <c r="F119" s="8">
        <v>3</v>
      </c>
      <c r="G119" s="8">
        <v>4</v>
      </c>
      <c r="H119" s="8">
        <v>5</v>
      </c>
      <c r="I119" s="8">
        <v>6</v>
      </c>
      <c r="J119" s="8">
        <v>7</v>
      </c>
      <c r="K119" s="8">
        <v>8</v>
      </c>
      <c r="L119" s="8">
        <v>9</v>
      </c>
      <c r="M119" s="8">
        <v>10</v>
      </c>
      <c r="N119" s="8">
        <v>11</v>
      </c>
      <c r="O119" s="8">
        <v>12</v>
      </c>
      <c r="P119" s="203"/>
      <c r="Q119" s="204"/>
    </row>
    <row r="120" spans="1:17" ht="94.5" customHeight="1">
      <c r="A120" s="165" t="s">
        <v>115</v>
      </c>
      <c r="B120" s="165"/>
      <c r="C120" s="166"/>
      <c r="D120" s="37">
        <f aca="true" t="shared" si="11" ref="D120:O120">D121</f>
        <v>792364.9</v>
      </c>
      <c r="E120" s="37">
        <f t="shared" si="11"/>
        <v>194668.11</v>
      </c>
      <c r="F120" s="37">
        <f t="shared" si="11"/>
        <v>155193.87</v>
      </c>
      <c r="G120" s="37">
        <f t="shared" si="11"/>
        <v>672609.4</v>
      </c>
      <c r="H120" s="37">
        <f t="shared" si="11"/>
        <v>7670.8</v>
      </c>
      <c r="I120" s="37">
        <f t="shared" si="11"/>
        <v>5268.65</v>
      </c>
      <c r="J120" s="37">
        <f t="shared" si="11"/>
        <v>603573.95</v>
      </c>
      <c r="K120" s="37">
        <f t="shared" si="11"/>
        <v>4268.640000000002</v>
      </c>
      <c r="L120" s="37">
        <f t="shared" si="11"/>
        <v>12613.660000000014</v>
      </c>
      <c r="M120" s="37">
        <f t="shared" si="11"/>
        <v>713008.62</v>
      </c>
      <c r="N120" s="37">
        <f t="shared" si="11"/>
        <v>177801.27999999997</v>
      </c>
      <c r="O120" s="37">
        <f t="shared" si="11"/>
        <v>191738.84</v>
      </c>
      <c r="P120" s="207">
        <f>SUM(D120:O120)</f>
        <v>3530780.7199999997</v>
      </c>
      <c r="Q120" s="208"/>
    </row>
    <row r="121" spans="1:17" ht="46.5" customHeight="1">
      <c r="A121" s="210" t="s">
        <v>87</v>
      </c>
      <c r="B121" s="205"/>
      <c r="C121" s="206"/>
      <c r="D121" s="38">
        <f>бланк!C57</f>
        <v>792364.9</v>
      </c>
      <c r="E121" s="38">
        <f>бланк!D57</f>
        <v>194668.11</v>
      </c>
      <c r="F121" s="38">
        <f>бланк!E57</f>
        <v>155193.87</v>
      </c>
      <c r="G121" s="38">
        <f>бланк!G57</f>
        <v>672609.4</v>
      </c>
      <c r="H121" s="38">
        <f>бланк!H57</f>
        <v>7670.8</v>
      </c>
      <c r="I121" s="38">
        <f>бланк!I57</f>
        <v>5268.65</v>
      </c>
      <c r="J121" s="38">
        <f>бланк!K57</f>
        <v>603573.95</v>
      </c>
      <c r="K121" s="38">
        <f>бланк!L57</f>
        <v>4268.640000000002</v>
      </c>
      <c r="L121" s="38">
        <f>бланк!M57</f>
        <v>12613.660000000014</v>
      </c>
      <c r="M121" s="38">
        <f>бланк!O57</f>
        <v>713008.62</v>
      </c>
      <c r="N121" s="38">
        <f>бланк!P57</f>
        <v>177801.27999999997</v>
      </c>
      <c r="O121" s="38">
        <f>бланк!Q57</f>
        <v>191738.84</v>
      </c>
      <c r="P121" s="162">
        <f>SUM(D121:O121)</f>
        <v>3530780.7199999997</v>
      </c>
      <c r="Q121" s="163"/>
    </row>
    <row r="122" ht="15.75" thickBot="1"/>
    <row r="123" spans="1:2" ht="15">
      <c r="A123" s="10" t="s">
        <v>64</v>
      </c>
      <c r="B123" s="11" t="s">
        <v>154</v>
      </c>
    </row>
    <row r="125" spans="1:18" ht="33" customHeight="1">
      <c r="A125" s="213" t="s">
        <v>40</v>
      </c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</row>
    <row r="128" ht="15">
      <c r="B128" s="1" t="s">
        <v>48</v>
      </c>
    </row>
    <row r="130" spans="1:17" ht="15" customHeight="1">
      <c r="A130" s="196" t="s">
        <v>49</v>
      </c>
      <c r="B130" s="196"/>
      <c r="C130" s="196"/>
      <c r="D130" s="197" t="s">
        <v>65</v>
      </c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9"/>
      <c r="P130" s="169" t="s">
        <v>39</v>
      </c>
      <c r="Q130" s="170"/>
    </row>
    <row r="131" spans="1:17" ht="15">
      <c r="A131" s="196"/>
      <c r="B131" s="196"/>
      <c r="C131" s="196"/>
      <c r="D131" s="8">
        <v>1</v>
      </c>
      <c r="E131" s="8">
        <v>2</v>
      </c>
      <c r="F131" s="8">
        <v>3</v>
      </c>
      <c r="G131" s="8">
        <v>4</v>
      </c>
      <c r="H131" s="8">
        <v>5</v>
      </c>
      <c r="I131" s="8">
        <v>6</v>
      </c>
      <c r="J131" s="8">
        <v>7</v>
      </c>
      <c r="K131" s="8">
        <v>8</v>
      </c>
      <c r="L131" s="8">
        <v>9</v>
      </c>
      <c r="M131" s="8">
        <v>10</v>
      </c>
      <c r="N131" s="8">
        <v>11</v>
      </c>
      <c r="O131" s="8">
        <v>12</v>
      </c>
      <c r="P131" s="203"/>
      <c r="Q131" s="204"/>
    </row>
    <row r="132" spans="1:17" ht="102" customHeight="1">
      <c r="A132" s="165" t="s">
        <v>115</v>
      </c>
      <c r="B132" s="165"/>
      <c r="C132" s="166"/>
      <c r="D132" s="36">
        <f>D135+D136+D137+D140+D141+D144+D133+D138+D143+D142+D139+D134+D145+D149+D150+D151+D152</f>
        <v>299480</v>
      </c>
      <c r="E132" s="36">
        <f aca="true" t="shared" si="12" ref="E132:O132">E135+E136+E137+E140+E141+E144+E133+E138+E143+E142+E139+E134+E145+E149+E150+E151+E152</f>
        <v>273772</v>
      </c>
      <c r="F132" s="36">
        <f t="shared" si="12"/>
        <v>130197</v>
      </c>
      <c r="G132" s="36">
        <f t="shared" si="12"/>
        <v>435992</v>
      </c>
      <c r="H132" s="36">
        <f t="shared" si="12"/>
        <v>540173.9</v>
      </c>
      <c r="I132" s="36">
        <f t="shared" si="12"/>
        <v>112022</v>
      </c>
      <c r="J132" s="36">
        <f t="shared" si="12"/>
        <v>158575.1</v>
      </c>
      <c r="K132" s="36">
        <f t="shared" si="12"/>
        <v>109680</v>
      </c>
      <c r="L132" s="36">
        <f t="shared" si="12"/>
        <v>693022</v>
      </c>
      <c r="M132" s="36">
        <f t="shared" si="12"/>
        <v>364457</v>
      </c>
      <c r="N132" s="36">
        <f t="shared" si="12"/>
        <v>364457</v>
      </c>
      <c r="O132" s="36">
        <f t="shared" si="12"/>
        <v>508240</v>
      </c>
      <c r="P132" s="162">
        <f>SUM(D132:O132)</f>
        <v>3990068</v>
      </c>
      <c r="Q132" s="163"/>
    </row>
    <row r="133" spans="1:17" ht="53.25" customHeight="1" hidden="1">
      <c r="A133" s="165" t="s">
        <v>138</v>
      </c>
      <c r="B133" s="165"/>
      <c r="C133" s="16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162">
        <f aca="true" t="shared" si="13" ref="P133:P145">SUM(D133:O133)</f>
        <v>0</v>
      </c>
      <c r="Q133" s="163"/>
    </row>
    <row r="134" spans="1:17" ht="48" customHeight="1">
      <c r="A134" s="165" t="s">
        <v>188</v>
      </c>
      <c r="B134" s="165"/>
      <c r="C134" s="166"/>
      <c r="D134" s="36">
        <v>0</v>
      </c>
      <c r="E134" s="36">
        <f>46960+14182</f>
        <v>61142</v>
      </c>
      <c r="F134" s="36">
        <f>46960+14182</f>
        <v>61142</v>
      </c>
      <c r="G134" s="36">
        <f>46960+14182</f>
        <v>61142</v>
      </c>
      <c r="H134" s="36">
        <f>46960*2+14182*2</f>
        <v>122284</v>
      </c>
      <c r="I134" s="36">
        <f>46960+14182</f>
        <v>61142</v>
      </c>
      <c r="J134" s="36">
        <f>46960+14182</f>
        <v>61142</v>
      </c>
      <c r="K134" s="36">
        <v>0</v>
      </c>
      <c r="L134" s="36">
        <f>46960+14182</f>
        <v>61142</v>
      </c>
      <c r="M134" s="36">
        <f>46960+14182</f>
        <v>61142</v>
      </c>
      <c r="N134" s="36">
        <f>46960+14182</f>
        <v>61142</v>
      </c>
      <c r="O134" s="36">
        <f>46960+39169+14182+11829</f>
        <v>112140</v>
      </c>
      <c r="P134" s="162">
        <f t="shared" si="13"/>
        <v>723560</v>
      </c>
      <c r="Q134" s="163"/>
    </row>
    <row r="135" spans="1:17" ht="38.25" customHeight="1" hidden="1">
      <c r="A135" s="222" t="s">
        <v>88</v>
      </c>
      <c r="B135" s="223"/>
      <c r="C135" s="22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162">
        <f t="shared" si="13"/>
        <v>0</v>
      </c>
      <c r="Q135" s="163"/>
    </row>
    <row r="136" spans="1:17" ht="45" customHeight="1" hidden="1">
      <c r="A136" s="222" t="s">
        <v>89</v>
      </c>
      <c r="B136" s="223"/>
      <c r="C136" s="22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162">
        <f t="shared" si="13"/>
        <v>0</v>
      </c>
      <c r="Q136" s="163"/>
    </row>
    <row r="137" spans="1:17" ht="98.25" customHeight="1" hidden="1">
      <c r="A137" s="222" t="s">
        <v>90</v>
      </c>
      <c r="B137" s="223"/>
      <c r="C137" s="22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162">
        <f t="shared" si="13"/>
        <v>0</v>
      </c>
      <c r="Q137" s="163"/>
    </row>
    <row r="138" spans="1:17" ht="53.25" customHeight="1">
      <c r="A138" s="164" t="s">
        <v>104</v>
      </c>
      <c r="B138" s="165"/>
      <c r="C138" s="166"/>
      <c r="D138" s="36"/>
      <c r="E138" s="36"/>
      <c r="F138" s="36"/>
      <c r="G138" s="36"/>
      <c r="H138" s="36">
        <v>34000</v>
      </c>
      <c r="I138" s="36"/>
      <c r="J138" s="36"/>
      <c r="K138" s="36">
        <v>108000</v>
      </c>
      <c r="L138" s="36"/>
      <c r="M138" s="36"/>
      <c r="N138" s="36"/>
      <c r="O138" s="36"/>
      <c r="P138" s="162">
        <f t="shared" si="13"/>
        <v>142000</v>
      </c>
      <c r="Q138" s="163"/>
    </row>
    <row r="139" spans="1:17" ht="53.25" customHeight="1" hidden="1">
      <c r="A139" s="164" t="s">
        <v>139</v>
      </c>
      <c r="B139" s="165"/>
      <c r="C139" s="16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162">
        <f t="shared" si="13"/>
        <v>0</v>
      </c>
      <c r="Q139" s="163"/>
    </row>
    <row r="140" spans="1:17" ht="32.25" customHeight="1">
      <c r="A140" s="222" t="s">
        <v>91</v>
      </c>
      <c r="B140" s="223"/>
      <c r="C140" s="224"/>
      <c r="D140" s="36">
        <v>37800</v>
      </c>
      <c r="E140" s="36">
        <v>0</v>
      </c>
      <c r="F140" s="36">
        <v>0</v>
      </c>
      <c r="G140" s="36">
        <v>36000</v>
      </c>
      <c r="H140" s="36">
        <v>36000</v>
      </c>
      <c r="I140" s="36">
        <v>30060</v>
      </c>
      <c r="J140" s="36">
        <v>30000</v>
      </c>
      <c r="K140" s="36">
        <v>0</v>
      </c>
      <c r="L140" s="36">
        <v>53160</v>
      </c>
      <c r="M140" s="36">
        <v>35000</v>
      </c>
      <c r="N140" s="36">
        <v>35000</v>
      </c>
      <c r="O140" s="36">
        <v>28280</v>
      </c>
      <c r="P140" s="162">
        <f t="shared" si="13"/>
        <v>321300</v>
      </c>
      <c r="Q140" s="163"/>
    </row>
    <row r="141" spans="1:17" ht="49.5" customHeight="1" hidden="1">
      <c r="A141" s="222" t="s">
        <v>92</v>
      </c>
      <c r="B141" s="223"/>
      <c r="C141" s="22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162">
        <f t="shared" si="13"/>
        <v>0</v>
      </c>
      <c r="Q141" s="163"/>
    </row>
    <row r="142" spans="1:17" ht="53.25" customHeight="1">
      <c r="A142" s="164" t="s">
        <v>140</v>
      </c>
      <c r="B142" s="165"/>
      <c r="C142" s="166"/>
      <c r="D142" s="36">
        <v>60000</v>
      </c>
      <c r="E142" s="36">
        <v>100000</v>
      </c>
      <c r="F142" s="36">
        <v>67375</v>
      </c>
      <c r="G142" s="36">
        <v>109140</v>
      </c>
      <c r="H142" s="36">
        <v>90000</v>
      </c>
      <c r="I142" s="36">
        <v>19140</v>
      </c>
      <c r="J142" s="36">
        <v>0</v>
      </c>
      <c r="K142" s="36">
        <v>0</v>
      </c>
      <c r="L142" s="36">
        <v>172805</v>
      </c>
      <c r="M142" s="36">
        <v>69700</v>
      </c>
      <c r="N142" s="36">
        <v>69700</v>
      </c>
      <c r="O142" s="36">
        <v>169830</v>
      </c>
      <c r="P142" s="162">
        <f>SUM(D142:O142)</f>
        <v>927690</v>
      </c>
      <c r="Q142" s="163"/>
    </row>
    <row r="143" spans="1:17" ht="72" customHeight="1">
      <c r="A143" s="164" t="s">
        <v>141</v>
      </c>
      <c r="B143" s="165"/>
      <c r="C143" s="166"/>
      <c r="D143" s="36">
        <v>200000</v>
      </c>
      <c r="E143" s="36">
        <v>110950</v>
      </c>
      <c r="F143" s="36">
        <v>0</v>
      </c>
      <c r="G143" s="36">
        <v>228030</v>
      </c>
      <c r="H143" s="36">
        <v>228030</v>
      </c>
      <c r="I143" s="36">
        <v>0</v>
      </c>
      <c r="J143" s="36">
        <v>0</v>
      </c>
      <c r="K143" s="36">
        <v>0</v>
      </c>
      <c r="L143" s="36">
        <v>404235</v>
      </c>
      <c r="M143" s="36">
        <v>196935</v>
      </c>
      <c r="N143" s="36">
        <v>196935</v>
      </c>
      <c r="O143" s="36">
        <v>196935</v>
      </c>
      <c r="P143" s="162">
        <f t="shared" si="13"/>
        <v>1762050</v>
      </c>
      <c r="Q143" s="163"/>
    </row>
    <row r="144" spans="1:17" ht="120" customHeight="1">
      <c r="A144" s="210" t="s">
        <v>187</v>
      </c>
      <c r="B144" s="205"/>
      <c r="C144" s="206"/>
      <c r="D144" s="36">
        <v>1680</v>
      </c>
      <c r="E144" s="36">
        <v>1680</v>
      </c>
      <c r="F144" s="36">
        <v>1680</v>
      </c>
      <c r="G144" s="36">
        <v>1680</v>
      </c>
      <c r="H144" s="36">
        <v>1680</v>
      </c>
      <c r="I144" s="36">
        <v>1680</v>
      </c>
      <c r="J144" s="36">
        <v>1680</v>
      </c>
      <c r="K144" s="36">
        <v>1680</v>
      </c>
      <c r="L144" s="36">
        <v>1680</v>
      </c>
      <c r="M144" s="36">
        <v>1680</v>
      </c>
      <c r="N144" s="36">
        <v>1680</v>
      </c>
      <c r="O144" s="36">
        <v>1055</v>
      </c>
      <c r="P144" s="162">
        <f t="shared" si="13"/>
        <v>19535</v>
      </c>
      <c r="Q144" s="163"/>
    </row>
    <row r="145" spans="1:17" ht="54.75" customHeight="1">
      <c r="A145" s="210" t="s">
        <v>186</v>
      </c>
      <c r="B145" s="205"/>
      <c r="C145" s="206"/>
      <c r="D145" s="36"/>
      <c r="E145" s="36"/>
      <c r="F145" s="36"/>
      <c r="G145" s="36"/>
      <c r="H145" s="36">
        <v>28179.9</v>
      </c>
      <c r="I145" s="36"/>
      <c r="J145" s="36">
        <v>65753.1</v>
      </c>
      <c r="K145" s="36"/>
      <c r="L145" s="36"/>
      <c r="M145" s="36"/>
      <c r="N145" s="36"/>
      <c r="O145" s="36"/>
      <c r="P145" s="162">
        <f t="shared" si="13"/>
        <v>93933</v>
      </c>
      <c r="Q145" s="163"/>
    </row>
    <row r="146" spans="1:17" ht="27.75" customHeight="1" hidden="1">
      <c r="A146" s="227"/>
      <c r="B146" s="228"/>
      <c r="C146" s="22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60"/>
      <c r="Q146" s="61"/>
    </row>
    <row r="147" spans="1:17" ht="15" hidden="1">
      <c r="A147" s="210" t="s">
        <v>36</v>
      </c>
      <c r="B147" s="205"/>
      <c r="C147" s="20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207"/>
      <c r="Q147" s="208"/>
    </row>
    <row r="148" spans="1:17" ht="28.5" customHeight="1" hidden="1">
      <c r="A148" s="210" t="s">
        <v>50</v>
      </c>
      <c r="B148" s="205"/>
      <c r="C148" s="20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207"/>
      <c r="Q148" s="208"/>
    </row>
    <row r="149" spans="1:17" ht="66" customHeight="1" hidden="1">
      <c r="A149" s="210" t="s">
        <v>220</v>
      </c>
      <c r="B149" s="205"/>
      <c r="C149" s="20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162">
        <f>SUM(D149:O149)</f>
        <v>0</v>
      </c>
      <c r="Q149" s="163"/>
    </row>
    <row r="150" spans="1:17" ht="51" customHeight="1" hidden="1">
      <c r="A150" s="164" t="s">
        <v>222</v>
      </c>
      <c r="B150" s="165"/>
      <c r="C150" s="16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162">
        <f>SUM(D150:O150)</f>
        <v>0</v>
      </c>
      <c r="Q150" s="163"/>
    </row>
    <row r="151" spans="1:17" ht="40.5" customHeight="1" hidden="1">
      <c r="A151" s="164" t="s">
        <v>223</v>
      </c>
      <c r="B151" s="165"/>
      <c r="C151" s="16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162">
        <f>SUM(D151:O151)</f>
        <v>0</v>
      </c>
      <c r="Q151" s="163"/>
    </row>
    <row r="152" spans="1:17" ht="65.25" customHeight="1" hidden="1">
      <c r="A152" s="164" t="s">
        <v>226</v>
      </c>
      <c r="B152" s="165"/>
      <c r="C152" s="16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162">
        <f>SUM(D152:O152)</f>
        <v>0</v>
      </c>
      <c r="Q152" s="163"/>
    </row>
    <row r="153" ht="15.75" thickBot="1"/>
    <row r="154" spans="1:2" ht="15">
      <c r="A154" s="10" t="s">
        <v>64</v>
      </c>
      <c r="B154" s="11" t="s">
        <v>154</v>
      </c>
    </row>
    <row r="156" spans="1:18" ht="29.25" customHeight="1">
      <c r="A156" s="213" t="s">
        <v>40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</row>
    <row r="159" ht="15">
      <c r="B159" s="1" t="s">
        <v>51</v>
      </c>
    </row>
    <row r="161" ht="15">
      <c r="B161" s="1" t="s">
        <v>52</v>
      </c>
    </row>
    <row r="163" spans="1:18" ht="42.75" customHeight="1">
      <c r="A163" s="5" t="s">
        <v>53</v>
      </c>
      <c r="B163" s="196" t="s">
        <v>54</v>
      </c>
      <c r="C163" s="196"/>
      <c r="D163" s="197" t="s">
        <v>66</v>
      </c>
      <c r="E163" s="198"/>
      <c r="F163" s="196" t="s">
        <v>55</v>
      </c>
      <c r="G163" s="196"/>
      <c r="H163" s="196"/>
      <c r="I163" s="196"/>
      <c r="J163" s="196"/>
      <c r="K163" s="196"/>
      <c r="L163" s="196"/>
      <c r="M163" s="196"/>
      <c r="N163" s="198" t="s">
        <v>56</v>
      </c>
      <c r="O163" s="198"/>
      <c r="P163" s="198"/>
      <c r="Q163" s="198"/>
      <c r="R163" s="199"/>
    </row>
    <row r="164" spans="1:18" ht="27.75" customHeight="1">
      <c r="A164" s="232" t="s">
        <v>57</v>
      </c>
      <c r="B164" s="233"/>
      <c r="C164" s="233"/>
      <c r="D164" s="233"/>
      <c r="E164" s="234"/>
      <c r="F164" s="225" t="s">
        <v>58</v>
      </c>
      <c r="G164" s="226"/>
      <c r="H164" s="225" t="s">
        <v>59</v>
      </c>
      <c r="I164" s="226"/>
      <c r="J164" s="225" t="s">
        <v>60</v>
      </c>
      <c r="K164" s="226"/>
      <c r="L164" s="225" t="s">
        <v>61</v>
      </c>
      <c r="M164" s="226"/>
      <c r="N164" s="225" t="s">
        <v>58</v>
      </c>
      <c r="O164" s="226"/>
      <c r="P164" s="59" t="s">
        <v>59</v>
      </c>
      <c r="Q164" s="59" t="s">
        <v>60</v>
      </c>
      <c r="R164" s="8" t="s">
        <v>61</v>
      </c>
    </row>
    <row r="165" spans="1:18" ht="45.75" customHeight="1">
      <c r="A165" s="23">
        <v>1</v>
      </c>
      <c r="B165" s="237" t="s">
        <v>124</v>
      </c>
      <c r="C165" s="238"/>
      <c r="D165" s="196"/>
      <c r="E165" s="196"/>
      <c r="F165" s="239" t="s">
        <v>125</v>
      </c>
      <c r="G165" s="240"/>
      <c r="H165" s="230" t="s">
        <v>125</v>
      </c>
      <c r="I165" s="231"/>
      <c r="J165" s="230" t="s">
        <v>125</v>
      </c>
      <c r="K165" s="231"/>
      <c r="L165" s="230" t="s">
        <v>125</v>
      </c>
      <c r="M165" s="231"/>
      <c r="N165" s="198"/>
      <c r="O165" s="199"/>
      <c r="P165" s="59"/>
      <c r="Q165" s="59"/>
      <c r="R165" s="8"/>
    </row>
    <row r="166" spans="1:18" ht="48.75" customHeight="1">
      <c r="A166" s="4">
        <v>2</v>
      </c>
      <c r="B166" s="242" t="s">
        <v>128</v>
      </c>
      <c r="C166" s="242"/>
      <c r="D166" s="227"/>
      <c r="E166" s="229"/>
      <c r="F166" s="235" t="s">
        <v>129</v>
      </c>
      <c r="G166" s="236"/>
      <c r="H166" s="222" t="s">
        <v>129</v>
      </c>
      <c r="I166" s="224"/>
      <c r="J166" s="222" t="s">
        <v>129</v>
      </c>
      <c r="K166" s="224"/>
      <c r="L166" s="222" t="s">
        <v>129</v>
      </c>
      <c r="M166" s="224"/>
      <c r="N166" s="241"/>
      <c r="O166" s="241"/>
      <c r="P166" s="4"/>
      <c r="Q166" s="4"/>
      <c r="R166" s="24"/>
    </row>
    <row r="167" spans="1:18" ht="71.25" customHeight="1">
      <c r="A167" s="4">
        <v>3</v>
      </c>
      <c r="B167" s="242" t="s">
        <v>130</v>
      </c>
      <c r="C167" s="242"/>
      <c r="D167" s="207"/>
      <c r="E167" s="208"/>
      <c r="F167" s="243" t="s">
        <v>123</v>
      </c>
      <c r="G167" s="244"/>
      <c r="H167" s="245" t="s">
        <v>123</v>
      </c>
      <c r="I167" s="246"/>
      <c r="J167" s="245" t="s">
        <v>123</v>
      </c>
      <c r="K167" s="246"/>
      <c r="L167" s="245" t="s">
        <v>123</v>
      </c>
      <c r="M167" s="246"/>
      <c r="N167" s="247"/>
      <c r="O167" s="247"/>
      <c r="P167" s="13"/>
      <c r="Q167" s="13"/>
      <c r="R167" s="3"/>
    </row>
    <row r="168" spans="1:18" ht="48" customHeight="1">
      <c r="A168" s="3">
        <v>4</v>
      </c>
      <c r="B168" s="242" t="s">
        <v>131</v>
      </c>
      <c r="C168" s="242"/>
      <c r="D168" s="249"/>
      <c r="E168" s="249"/>
      <c r="F168" s="250" t="s">
        <v>123</v>
      </c>
      <c r="G168" s="250"/>
      <c r="H168" s="251" t="s">
        <v>123</v>
      </c>
      <c r="I168" s="251"/>
      <c r="J168" s="251" t="s">
        <v>123</v>
      </c>
      <c r="K168" s="251"/>
      <c r="L168" s="251" t="s">
        <v>123</v>
      </c>
      <c r="M168" s="251"/>
      <c r="N168" s="249"/>
      <c r="O168" s="249"/>
      <c r="P168" s="3"/>
      <c r="Q168" s="3"/>
      <c r="R168" s="3"/>
    </row>
    <row r="169" spans="1:18" ht="37.5" customHeight="1">
      <c r="A169" s="3">
        <v>5</v>
      </c>
      <c r="B169" s="242" t="s">
        <v>132</v>
      </c>
      <c r="C169" s="242"/>
      <c r="D169" s="248"/>
      <c r="E169" s="248"/>
      <c r="F169" s="252" t="s">
        <v>133</v>
      </c>
      <c r="G169" s="252"/>
      <c r="H169" s="248" t="s">
        <v>133</v>
      </c>
      <c r="I169" s="248"/>
      <c r="J169" s="248" t="s">
        <v>133</v>
      </c>
      <c r="K169" s="248"/>
      <c r="L169" s="248" t="s">
        <v>133</v>
      </c>
      <c r="M169" s="248"/>
      <c r="N169" s="248"/>
      <c r="O169" s="248"/>
      <c r="P169" s="3"/>
      <c r="Q169" s="3"/>
      <c r="R169" s="3"/>
    </row>
    <row r="170" spans="1:18" ht="50.25" customHeight="1">
      <c r="A170" s="3">
        <v>6</v>
      </c>
      <c r="B170" s="164" t="s">
        <v>134</v>
      </c>
      <c r="C170" s="166"/>
      <c r="D170" s="248"/>
      <c r="E170" s="248"/>
      <c r="F170" s="252" t="s">
        <v>135</v>
      </c>
      <c r="G170" s="252"/>
      <c r="H170" s="248" t="s">
        <v>135</v>
      </c>
      <c r="I170" s="248"/>
      <c r="J170" s="248" t="s">
        <v>135</v>
      </c>
      <c r="K170" s="248"/>
      <c r="L170" s="248" t="s">
        <v>135</v>
      </c>
      <c r="M170" s="248"/>
      <c r="N170" s="248"/>
      <c r="O170" s="248"/>
      <c r="P170" s="3"/>
      <c r="Q170" s="3"/>
      <c r="R170" s="3"/>
    </row>
    <row r="171" spans="1:18" ht="57" customHeight="1">
      <c r="A171" s="3">
        <v>7</v>
      </c>
      <c r="B171" s="164" t="s">
        <v>136</v>
      </c>
      <c r="C171" s="166"/>
      <c r="D171" s="248"/>
      <c r="E171" s="248"/>
      <c r="F171" s="253" t="s">
        <v>137</v>
      </c>
      <c r="G171" s="254"/>
      <c r="H171" s="253" t="s">
        <v>137</v>
      </c>
      <c r="I171" s="254"/>
      <c r="J171" s="253" t="s">
        <v>137</v>
      </c>
      <c r="K171" s="254"/>
      <c r="L171" s="253" t="s">
        <v>137</v>
      </c>
      <c r="M171" s="254"/>
      <c r="N171" s="248"/>
      <c r="O171" s="248"/>
      <c r="P171" s="3"/>
      <c r="Q171" s="3"/>
      <c r="R171" s="3"/>
    </row>
    <row r="173" ht="15">
      <c r="A173" s="14"/>
    </row>
    <row r="174" spans="1:18" ht="30.75" customHeight="1">
      <c r="A174" s="213" t="s">
        <v>40</v>
      </c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</row>
    <row r="177" ht="15">
      <c r="B177" s="1" t="s">
        <v>62</v>
      </c>
    </row>
    <row r="179" spans="1:18" ht="26.25" customHeight="1">
      <c r="A179" s="5" t="s">
        <v>53</v>
      </c>
      <c r="B179" s="197" t="s">
        <v>54</v>
      </c>
      <c r="C179" s="198"/>
      <c r="D179" s="199"/>
      <c r="E179" s="197" t="s">
        <v>66</v>
      </c>
      <c r="F179" s="198"/>
      <c r="G179" s="198"/>
      <c r="H179" s="199"/>
      <c r="I179" s="249" t="s">
        <v>55</v>
      </c>
      <c r="J179" s="249"/>
      <c r="K179" s="249"/>
      <c r="L179" s="249"/>
      <c r="M179" s="249"/>
      <c r="N179" s="249" t="s">
        <v>56</v>
      </c>
      <c r="O179" s="249"/>
      <c r="P179" s="249"/>
      <c r="Q179" s="249"/>
      <c r="R179" s="14"/>
    </row>
    <row r="180" spans="1:17" ht="36.75" customHeight="1">
      <c r="A180" s="3">
        <v>1</v>
      </c>
      <c r="B180" s="164" t="s">
        <v>118</v>
      </c>
      <c r="C180" s="165"/>
      <c r="D180" s="166"/>
      <c r="E180" s="255"/>
      <c r="F180" s="256"/>
      <c r="G180" s="256"/>
      <c r="H180" s="257"/>
      <c r="I180" s="258" t="s">
        <v>119</v>
      </c>
      <c r="J180" s="259"/>
      <c r="K180" s="259"/>
      <c r="L180" s="259"/>
      <c r="M180" s="260"/>
      <c r="N180" s="255"/>
      <c r="O180" s="256"/>
      <c r="P180" s="256"/>
      <c r="Q180" s="257"/>
    </row>
    <row r="181" spans="1:17" ht="48" customHeight="1">
      <c r="A181" s="3">
        <v>2</v>
      </c>
      <c r="B181" s="164" t="s">
        <v>120</v>
      </c>
      <c r="C181" s="165"/>
      <c r="D181" s="166"/>
      <c r="E181" s="255"/>
      <c r="F181" s="256"/>
      <c r="G181" s="256"/>
      <c r="H181" s="257"/>
      <c r="I181" s="258" t="s">
        <v>121</v>
      </c>
      <c r="J181" s="259"/>
      <c r="K181" s="259"/>
      <c r="L181" s="259"/>
      <c r="M181" s="260"/>
      <c r="N181" s="255"/>
      <c r="O181" s="256"/>
      <c r="P181" s="256"/>
      <c r="Q181" s="257"/>
    </row>
    <row r="182" spans="1:17" ht="24.75" customHeight="1">
      <c r="A182" s="3">
        <v>3</v>
      </c>
      <c r="B182" s="164" t="s">
        <v>122</v>
      </c>
      <c r="C182" s="165"/>
      <c r="D182" s="166"/>
      <c r="E182" s="255"/>
      <c r="F182" s="256"/>
      <c r="G182" s="256"/>
      <c r="H182" s="257"/>
      <c r="I182" s="258" t="s">
        <v>123</v>
      </c>
      <c r="J182" s="259"/>
      <c r="K182" s="259"/>
      <c r="L182" s="259"/>
      <c r="M182" s="260"/>
      <c r="N182" s="255"/>
      <c r="O182" s="256"/>
      <c r="P182" s="256"/>
      <c r="Q182" s="257"/>
    </row>
    <row r="183" spans="1:17" ht="50.25" customHeight="1">
      <c r="A183" s="3">
        <v>4</v>
      </c>
      <c r="B183" s="164" t="s">
        <v>126</v>
      </c>
      <c r="C183" s="165"/>
      <c r="D183" s="166"/>
      <c r="E183" s="255"/>
      <c r="F183" s="256"/>
      <c r="G183" s="256"/>
      <c r="H183" s="257"/>
      <c r="I183" s="258" t="s">
        <v>127</v>
      </c>
      <c r="J183" s="259"/>
      <c r="K183" s="259"/>
      <c r="L183" s="259"/>
      <c r="M183" s="260"/>
      <c r="N183" s="255"/>
      <c r="O183" s="256"/>
      <c r="P183" s="256"/>
      <c r="Q183" s="257"/>
    </row>
    <row r="184" ht="15.75" thickBot="1"/>
    <row r="185" spans="1:2" ht="15">
      <c r="A185" s="10" t="s">
        <v>67</v>
      </c>
      <c r="B185" s="11" t="s">
        <v>68</v>
      </c>
    </row>
    <row r="187" spans="1:18" ht="30.75" customHeight="1">
      <c r="A187" s="213" t="s">
        <v>40</v>
      </c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</row>
    <row r="190" ht="15">
      <c r="B190" s="1" t="s">
        <v>69</v>
      </c>
    </row>
    <row r="192" spans="1:17" ht="30" customHeight="1">
      <c r="A192" s="59" t="s">
        <v>53</v>
      </c>
      <c r="B192" s="261" t="s">
        <v>70</v>
      </c>
      <c r="C192" s="262"/>
      <c r="D192" s="263"/>
      <c r="E192" s="264" t="s">
        <v>71</v>
      </c>
      <c r="F192" s="265"/>
      <c r="G192" s="265"/>
      <c r="H192" s="266"/>
      <c r="I192" s="267" t="s">
        <v>72</v>
      </c>
      <c r="J192" s="267"/>
      <c r="K192" s="267"/>
      <c r="L192" s="267"/>
      <c r="M192" s="267"/>
      <c r="N192" s="267" t="s">
        <v>73</v>
      </c>
      <c r="O192" s="267"/>
      <c r="P192" s="267"/>
      <c r="Q192" s="267"/>
    </row>
    <row r="193" spans="1:17" ht="70.5" customHeight="1">
      <c r="A193" s="3">
        <v>1</v>
      </c>
      <c r="B193" s="164" t="s">
        <v>116</v>
      </c>
      <c r="C193" s="165"/>
      <c r="D193" s="166"/>
      <c r="E193" s="255">
        <v>2013</v>
      </c>
      <c r="F193" s="256"/>
      <c r="G193" s="256"/>
      <c r="H193" s="257"/>
      <c r="I193" s="268">
        <f>P85+P132</f>
        <v>44050194.99999999</v>
      </c>
      <c r="J193" s="269"/>
      <c r="K193" s="269"/>
      <c r="L193" s="269"/>
      <c r="M193" s="270"/>
      <c r="N193" s="255">
        <f>P67</f>
        <v>1245</v>
      </c>
      <c r="O193" s="256"/>
      <c r="P193" s="256"/>
      <c r="Q193" s="257"/>
    </row>
    <row r="194" spans="1:17" ht="15" customHeight="1" hidden="1">
      <c r="A194" s="3"/>
      <c r="B194" s="255"/>
      <c r="C194" s="256"/>
      <c r="D194" s="257"/>
      <c r="E194" s="255"/>
      <c r="F194" s="256"/>
      <c r="G194" s="256"/>
      <c r="H194" s="257"/>
      <c r="I194" s="255"/>
      <c r="J194" s="256"/>
      <c r="K194" s="256"/>
      <c r="L194" s="256"/>
      <c r="M194" s="257"/>
      <c r="N194" s="255"/>
      <c r="O194" s="256"/>
      <c r="P194" s="256"/>
      <c r="Q194" s="257"/>
    </row>
    <row r="195" spans="1:17" ht="15" customHeight="1" hidden="1">
      <c r="A195" s="3"/>
      <c r="B195" s="255"/>
      <c r="C195" s="256"/>
      <c r="D195" s="257"/>
      <c r="E195" s="255"/>
      <c r="F195" s="256"/>
      <c r="G195" s="256"/>
      <c r="H195" s="257"/>
      <c r="I195" s="255"/>
      <c r="J195" s="256"/>
      <c r="K195" s="256"/>
      <c r="L195" s="256"/>
      <c r="M195" s="257"/>
      <c r="N195" s="255"/>
      <c r="O195" s="256"/>
      <c r="P195" s="256"/>
      <c r="Q195" s="257"/>
    </row>
    <row r="196" ht="15.75" thickBot="1"/>
    <row r="197" spans="1:18" ht="15" customHeight="1">
      <c r="A197" s="15" t="s">
        <v>74</v>
      </c>
      <c r="B197" s="17" t="s">
        <v>75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ht="13.5" customHeight="1">
      <c r="A198" s="1" t="s">
        <v>76</v>
      </c>
    </row>
    <row r="199" ht="14.25" customHeight="1">
      <c r="A199" s="1" t="s">
        <v>77</v>
      </c>
    </row>
    <row r="202" ht="15">
      <c r="B202" s="1" t="s">
        <v>78</v>
      </c>
    </row>
    <row r="204" spans="1:18" ht="61.5" customHeight="1">
      <c r="A204" s="272" t="s">
        <v>117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4"/>
      <c r="R204" s="18"/>
    </row>
    <row r="207" ht="15">
      <c r="B207" s="1" t="s">
        <v>79</v>
      </c>
    </row>
    <row r="209" spans="1:17" ht="15">
      <c r="A209" s="255">
        <f>ROUND(P85/P67,2)</f>
        <v>32176.81</v>
      </c>
      <c r="B209" s="256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7"/>
    </row>
    <row r="212" ht="15">
      <c r="B212" s="1" t="s">
        <v>80</v>
      </c>
    </row>
    <row r="214" spans="1:17" ht="30.75" customHeight="1">
      <c r="A214" s="272" t="s">
        <v>94</v>
      </c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4"/>
    </row>
    <row r="217" ht="15">
      <c r="B217" s="1" t="s">
        <v>81</v>
      </c>
    </row>
    <row r="218" ht="9" customHeight="1"/>
    <row r="219" spans="1:17" ht="86.25" customHeight="1">
      <c r="A219" s="164" t="s">
        <v>103</v>
      </c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6"/>
    </row>
    <row r="220" spans="1:17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5">
      <c r="A221" s="29"/>
      <c r="B221" s="29" t="s">
        <v>82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35.25" customHeight="1">
      <c r="A223" s="275" t="s">
        <v>100</v>
      </c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7"/>
    </row>
    <row r="224" spans="1:17" ht="15">
      <c r="A224" s="63" t="s">
        <v>95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5"/>
    </row>
    <row r="225" spans="1:17" ht="24.75" customHeight="1">
      <c r="A225" s="278" t="s">
        <v>96</v>
      </c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80"/>
    </row>
    <row r="226" spans="1:17" ht="15">
      <c r="A226" s="281" t="s">
        <v>97</v>
      </c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3"/>
    </row>
    <row r="227" spans="1:17" ht="15">
      <c r="A227" s="30" t="s">
        <v>98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</row>
    <row r="228" spans="1:17" ht="15">
      <c r="A228" s="21" t="s">
        <v>99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22"/>
    </row>
    <row r="230" spans="2:14" ht="15">
      <c r="B230" s="168" t="s">
        <v>105</v>
      </c>
      <c r="C230" s="168"/>
      <c r="D230" s="168"/>
      <c r="E230" s="168"/>
      <c r="I230" s="19"/>
      <c r="J230" s="19"/>
      <c r="K230" s="271" t="s">
        <v>224</v>
      </c>
      <c r="L230" s="271"/>
      <c r="M230" s="271"/>
      <c r="N230" s="1" t="s">
        <v>85</v>
      </c>
    </row>
    <row r="232" spans="2:8" ht="15">
      <c r="B232" s="1" t="s">
        <v>83</v>
      </c>
      <c r="C232" s="19"/>
      <c r="E232" s="9" t="s">
        <v>84</v>
      </c>
      <c r="F232" s="19"/>
      <c r="G232" s="19"/>
      <c r="H232" s="19"/>
    </row>
    <row r="234" spans="2:14" ht="18" customHeight="1">
      <c r="B234" s="213" t="s">
        <v>227</v>
      </c>
      <c r="C234" s="213"/>
      <c r="D234" s="213"/>
      <c r="E234" s="213"/>
      <c r="I234" s="19"/>
      <c r="J234" s="19"/>
      <c r="K234" s="271" t="s">
        <v>217</v>
      </c>
      <c r="L234" s="271"/>
      <c r="M234" s="271"/>
      <c r="N234" s="1" t="s">
        <v>85</v>
      </c>
    </row>
    <row r="236" spans="2:8" ht="15">
      <c r="B236" s="1" t="s">
        <v>83</v>
      </c>
      <c r="C236" s="19"/>
      <c r="E236" s="9" t="s">
        <v>84</v>
      </c>
      <c r="F236" s="19"/>
      <c r="G236" s="19"/>
      <c r="H236" s="19"/>
    </row>
  </sheetData>
  <sheetProtection/>
  <mergeCells count="283">
    <mergeCell ref="A152:C152"/>
    <mergeCell ref="P152:Q152"/>
    <mergeCell ref="B17:R17"/>
    <mergeCell ref="B234:E234"/>
    <mergeCell ref="K234:M234"/>
    <mergeCell ref="A214:Q214"/>
    <mergeCell ref="A219:Q219"/>
    <mergeCell ref="A223:Q223"/>
    <mergeCell ref="A225:Q225"/>
    <mergeCell ref="A226:Q226"/>
    <mergeCell ref="B230:E230"/>
    <mergeCell ref="K230:M230"/>
    <mergeCell ref="B195:D195"/>
    <mergeCell ref="E195:H195"/>
    <mergeCell ref="I195:M195"/>
    <mergeCell ref="N195:Q195"/>
    <mergeCell ref="A204:Q204"/>
    <mergeCell ref="A209:Q209"/>
    <mergeCell ref="B193:D193"/>
    <mergeCell ref="E193:H193"/>
    <mergeCell ref="I193:M193"/>
    <mergeCell ref="N193:Q193"/>
    <mergeCell ref="B194:D194"/>
    <mergeCell ref="E194:H194"/>
    <mergeCell ref="I194:M194"/>
    <mergeCell ref="N194:Q194"/>
    <mergeCell ref="B183:D183"/>
    <mergeCell ref="E183:H183"/>
    <mergeCell ref="I183:M183"/>
    <mergeCell ref="N183:Q183"/>
    <mergeCell ref="A187:R187"/>
    <mergeCell ref="B192:D192"/>
    <mergeCell ref="E192:H192"/>
    <mergeCell ref="I192:M192"/>
    <mergeCell ref="N192:Q192"/>
    <mergeCell ref="B181:D181"/>
    <mergeCell ref="E181:H181"/>
    <mergeCell ref="I181:M181"/>
    <mergeCell ref="N181:Q181"/>
    <mergeCell ref="B182:D182"/>
    <mergeCell ref="E182:H182"/>
    <mergeCell ref="I182:M182"/>
    <mergeCell ref="N182:Q182"/>
    <mergeCell ref="A174:R174"/>
    <mergeCell ref="B179:D179"/>
    <mergeCell ref="E179:H179"/>
    <mergeCell ref="I179:M179"/>
    <mergeCell ref="N179:Q179"/>
    <mergeCell ref="B180:D180"/>
    <mergeCell ref="E180:H180"/>
    <mergeCell ref="I180:M180"/>
    <mergeCell ref="N180:Q180"/>
    <mergeCell ref="N170:O170"/>
    <mergeCell ref="B171:C171"/>
    <mergeCell ref="D171:E171"/>
    <mergeCell ref="F171:G171"/>
    <mergeCell ref="H171:I171"/>
    <mergeCell ref="J171:K171"/>
    <mergeCell ref="L171:M171"/>
    <mergeCell ref="N171:O171"/>
    <mergeCell ref="B170:C170"/>
    <mergeCell ref="D170:E170"/>
    <mergeCell ref="F170:G170"/>
    <mergeCell ref="H170:I170"/>
    <mergeCell ref="J170:K170"/>
    <mergeCell ref="L170:M170"/>
    <mergeCell ref="N168:O168"/>
    <mergeCell ref="B169:C169"/>
    <mergeCell ref="D169:E169"/>
    <mergeCell ref="F169:G169"/>
    <mergeCell ref="H169:I169"/>
    <mergeCell ref="J169:K169"/>
    <mergeCell ref="L169:M169"/>
    <mergeCell ref="N169:O169"/>
    <mergeCell ref="B168:C168"/>
    <mergeCell ref="D168:E168"/>
    <mergeCell ref="F168:G168"/>
    <mergeCell ref="H168:I168"/>
    <mergeCell ref="J168:K168"/>
    <mergeCell ref="L168:M168"/>
    <mergeCell ref="N166:O166"/>
    <mergeCell ref="B167:C167"/>
    <mergeCell ref="D167:E167"/>
    <mergeCell ref="F167:G167"/>
    <mergeCell ref="H167:I167"/>
    <mergeCell ref="J167:K167"/>
    <mergeCell ref="L167:M167"/>
    <mergeCell ref="N167:O167"/>
    <mergeCell ref="B166:C166"/>
    <mergeCell ref="D166:E166"/>
    <mergeCell ref="F166:G166"/>
    <mergeCell ref="H166:I166"/>
    <mergeCell ref="J166:K166"/>
    <mergeCell ref="L166:M166"/>
    <mergeCell ref="N164:O164"/>
    <mergeCell ref="B165:C165"/>
    <mergeCell ref="D165:E165"/>
    <mergeCell ref="F165:G165"/>
    <mergeCell ref="H165:I165"/>
    <mergeCell ref="J165:K165"/>
    <mergeCell ref="L165:M165"/>
    <mergeCell ref="N165:O165"/>
    <mergeCell ref="A156:R156"/>
    <mergeCell ref="B163:C163"/>
    <mergeCell ref="D163:E163"/>
    <mergeCell ref="F163:M163"/>
    <mergeCell ref="N163:R163"/>
    <mergeCell ref="A164:E164"/>
    <mergeCell ref="F164:G164"/>
    <mergeCell ref="H164:I164"/>
    <mergeCell ref="J164:K164"/>
    <mergeCell ref="L164:M164"/>
    <mergeCell ref="A145:C145"/>
    <mergeCell ref="A146:C146"/>
    <mergeCell ref="A147:C147"/>
    <mergeCell ref="P147:Q147"/>
    <mergeCell ref="A148:C148"/>
    <mergeCell ref="P148:Q148"/>
    <mergeCell ref="P145:Q145"/>
    <mergeCell ref="A149:C149"/>
    <mergeCell ref="A142:C142"/>
    <mergeCell ref="P142:Q142"/>
    <mergeCell ref="A143:C143"/>
    <mergeCell ref="P143:Q143"/>
    <mergeCell ref="A144:C144"/>
    <mergeCell ref="P144:Q144"/>
    <mergeCell ref="A139:C139"/>
    <mergeCell ref="P139:Q139"/>
    <mergeCell ref="A140:C140"/>
    <mergeCell ref="P140:Q140"/>
    <mergeCell ref="A141:C141"/>
    <mergeCell ref="P141:Q141"/>
    <mergeCell ref="A136:C136"/>
    <mergeCell ref="P136:Q136"/>
    <mergeCell ref="A137:C137"/>
    <mergeCell ref="P137:Q137"/>
    <mergeCell ref="A138:C138"/>
    <mergeCell ref="P138:Q138"/>
    <mergeCell ref="A132:C132"/>
    <mergeCell ref="P132:Q132"/>
    <mergeCell ref="A133:C133"/>
    <mergeCell ref="P133:Q133"/>
    <mergeCell ref="A135:C135"/>
    <mergeCell ref="P135:Q135"/>
    <mergeCell ref="A134:C134"/>
    <mergeCell ref="P134:Q134"/>
    <mergeCell ref="A120:C120"/>
    <mergeCell ref="P120:Q120"/>
    <mergeCell ref="A121:C121"/>
    <mergeCell ref="P121:Q121"/>
    <mergeCell ref="A125:R125"/>
    <mergeCell ref="A130:C131"/>
    <mergeCell ref="D130:O130"/>
    <mergeCell ref="P130:Q131"/>
    <mergeCell ref="A108:B108"/>
    <mergeCell ref="P108:Q108"/>
    <mergeCell ref="A113:R113"/>
    <mergeCell ref="A118:C119"/>
    <mergeCell ref="D118:O118"/>
    <mergeCell ref="P118:Q119"/>
    <mergeCell ref="A104:B105"/>
    <mergeCell ref="P104:Q104"/>
    <mergeCell ref="P105:Q105"/>
    <mergeCell ref="A106:B107"/>
    <mergeCell ref="P106:Q106"/>
    <mergeCell ref="P107:Q107"/>
    <mergeCell ref="A100:B101"/>
    <mergeCell ref="P100:Q100"/>
    <mergeCell ref="P101:Q101"/>
    <mergeCell ref="A102:B103"/>
    <mergeCell ref="P102:Q102"/>
    <mergeCell ref="P103:Q103"/>
    <mergeCell ref="A90:R90"/>
    <mergeCell ref="A96:B97"/>
    <mergeCell ref="C96:C97"/>
    <mergeCell ref="D96:O96"/>
    <mergeCell ref="P96:Q97"/>
    <mergeCell ref="A98:B99"/>
    <mergeCell ref="P98:Q98"/>
    <mergeCell ref="P99:Q99"/>
    <mergeCell ref="A76:R76"/>
    <mergeCell ref="A83:C84"/>
    <mergeCell ref="D83:O83"/>
    <mergeCell ref="P83:Q84"/>
    <mergeCell ref="A85:C85"/>
    <mergeCell ref="P85:Q85"/>
    <mergeCell ref="A68:C68"/>
    <mergeCell ref="P68:Q68"/>
    <mergeCell ref="A69:C69"/>
    <mergeCell ref="P69:Q69"/>
    <mergeCell ref="A70:C70"/>
    <mergeCell ref="P70:Q70"/>
    <mergeCell ref="A65:C66"/>
    <mergeCell ref="D65:O65"/>
    <mergeCell ref="P65:Q66"/>
    <mergeCell ref="A67:C67"/>
    <mergeCell ref="P67:Q67"/>
    <mergeCell ref="A40:B61"/>
    <mergeCell ref="C40:C61"/>
    <mergeCell ref="D43:E43"/>
    <mergeCell ref="D58:E58"/>
    <mergeCell ref="F58:G58"/>
    <mergeCell ref="D60:E60"/>
    <mergeCell ref="F60:G60"/>
    <mergeCell ref="D55:E55"/>
    <mergeCell ref="F55:G55"/>
    <mergeCell ref="D56:E56"/>
    <mergeCell ref="F56:G56"/>
    <mergeCell ref="D57:E57"/>
    <mergeCell ref="F57:G57"/>
    <mergeCell ref="D53:E53"/>
    <mergeCell ref="F53:G53"/>
    <mergeCell ref="D54:E54"/>
    <mergeCell ref="F54:G54"/>
    <mergeCell ref="D59:E59"/>
    <mergeCell ref="F59:G59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5:E45"/>
    <mergeCell ref="F45:G45"/>
    <mergeCell ref="D44:E44"/>
    <mergeCell ref="F44:G44"/>
    <mergeCell ref="F43:G43"/>
    <mergeCell ref="D46:E46"/>
    <mergeCell ref="F46:G46"/>
    <mergeCell ref="J39:K39"/>
    <mergeCell ref="L39:M39"/>
    <mergeCell ref="N39:O39"/>
    <mergeCell ref="F42:G42"/>
    <mergeCell ref="D40:E40"/>
    <mergeCell ref="F40:G40"/>
    <mergeCell ref="H40:I40"/>
    <mergeCell ref="J40:K40"/>
    <mergeCell ref="A37:B39"/>
    <mergeCell ref="C37:C39"/>
    <mergeCell ref="D37:R37"/>
    <mergeCell ref="D38:I38"/>
    <mergeCell ref="J38:O38"/>
    <mergeCell ref="N40:O40"/>
    <mergeCell ref="P38:R38"/>
    <mergeCell ref="D39:E39"/>
    <mergeCell ref="F39:G39"/>
    <mergeCell ref="H39:I39"/>
    <mergeCell ref="P22:P32"/>
    <mergeCell ref="Q22:R32"/>
    <mergeCell ref="H21:I21"/>
    <mergeCell ref="J21:K21"/>
    <mergeCell ref="L21:M21"/>
    <mergeCell ref="N21:O21"/>
    <mergeCell ref="Q21:R21"/>
    <mergeCell ref="H22:I32"/>
    <mergeCell ref="J22:K32"/>
    <mergeCell ref="L22:M32"/>
    <mergeCell ref="B22:B32"/>
    <mergeCell ref="C22:C32"/>
    <mergeCell ref="D22:E32"/>
    <mergeCell ref="F22:G32"/>
    <mergeCell ref="A150:C150"/>
    <mergeCell ref="N22:O32"/>
    <mergeCell ref="D41:E41"/>
    <mergeCell ref="F41:G41"/>
    <mergeCell ref="D42:E42"/>
    <mergeCell ref="L40:M40"/>
    <mergeCell ref="P150:Q150"/>
    <mergeCell ref="A151:C151"/>
    <mergeCell ref="P151:Q151"/>
    <mergeCell ref="P149:Q149"/>
    <mergeCell ref="A12:R12"/>
    <mergeCell ref="A13:R13"/>
    <mergeCell ref="A14:R14"/>
    <mergeCell ref="D21:E21"/>
    <mergeCell ref="F21:G21"/>
    <mergeCell ref="A22:A32"/>
  </mergeCells>
  <printOptions/>
  <pageMargins left="0" right="0" top="0" bottom="0" header="0.15748031496062992" footer="0.15748031496062992"/>
  <pageSetup horizontalDpi="600" verticalDpi="600" orientation="landscape" paperSize="9" scale="89" r:id="rId1"/>
  <rowBreaks count="1" manualBreakCount="1">
    <brk id="20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89"/>
  <sheetViews>
    <sheetView zoomScale="84" zoomScaleNormal="84" zoomScalePageLayoutView="0" workbookViewId="0" topLeftCell="A1">
      <pane xSplit="2" ySplit="3" topLeftCell="F46" activePane="bottomRight" state="frozen"/>
      <selection pane="topLeft" activeCell="A227" sqref="A227"/>
      <selection pane="topRight" activeCell="A227" sqref="A227"/>
      <selection pane="bottomLeft" activeCell="A227" sqref="A227"/>
      <selection pane="bottomRight" activeCell="O53" sqref="O53:Q53"/>
    </sheetView>
  </sheetViews>
  <sheetFormatPr defaultColWidth="9.140625" defaultRowHeight="15"/>
  <cols>
    <col min="1" max="1" width="26.57421875" style="0" customWidth="1"/>
    <col min="2" max="2" width="6.57421875" style="0" customWidth="1"/>
    <col min="3" max="3" width="11.28125" style="0" customWidth="1"/>
    <col min="4" max="4" width="11.421875" style="0" bestFit="1" customWidth="1"/>
    <col min="5" max="5" width="12.421875" style="0" bestFit="1" customWidth="1"/>
    <col min="6" max="6" width="11.7109375" style="66" customWidth="1"/>
    <col min="7" max="7" width="10.7109375" style="0" customWidth="1"/>
    <col min="8" max="8" width="10.00390625" style="0" customWidth="1"/>
    <col min="9" max="9" width="10.7109375" style="0" customWidth="1"/>
    <col min="10" max="10" width="10.7109375" style="66" customWidth="1"/>
    <col min="11" max="13" width="10.7109375" style="0" customWidth="1"/>
    <col min="14" max="14" width="10.7109375" style="66" customWidth="1"/>
    <col min="15" max="17" width="10.7109375" style="0" customWidth="1"/>
    <col min="18" max="18" width="12.28125" style="66" customWidth="1"/>
    <col min="19" max="19" width="15.28125" style="102" customWidth="1"/>
    <col min="20" max="20" width="14.421875" style="0" customWidth="1"/>
    <col min="21" max="21" width="13.28125" style="0" customWidth="1"/>
  </cols>
  <sheetData>
    <row r="1" spans="1:19" s="110" customFormat="1" ht="15">
      <c r="A1" s="284" t="s">
        <v>221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110" customFormat="1" ht="15">
      <c r="A2" s="122"/>
      <c r="B2" s="285" t="s">
        <v>183</v>
      </c>
      <c r="C2" s="285" t="s">
        <v>182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  <c r="S2" s="147"/>
    </row>
    <row r="3" spans="1:20" s="110" customFormat="1" ht="15">
      <c r="A3" s="122"/>
      <c r="B3" s="285"/>
      <c r="C3" s="122">
        <v>1</v>
      </c>
      <c r="D3" s="122">
        <v>2</v>
      </c>
      <c r="E3" s="122">
        <v>3</v>
      </c>
      <c r="F3" s="134" t="s">
        <v>181</v>
      </c>
      <c r="G3" s="122">
        <v>4</v>
      </c>
      <c r="H3" s="122">
        <v>5</v>
      </c>
      <c r="I3" s="122">
        <v>6</v>
      </c>
      <c r="J3" s="134" t="s">
        <v>180</v>
      </c>
      <c r="K3" s="122">
        <v>7</v>
      </c>
      <c r="L3" s="122">
        <v>8</v>
      </c>
      <c r="M3" s="122">
        <v>9</v>
      </c>
      <c r="N3" s="134" t="s">
        <v>179</v>
      </c>
      <c r="O3" s="122">
        <v>10</v>
      </c>
      <c r="P3" s="122">
        <v>11</v>
      </c>
      <c r="Q3" s="122">
        <v>12</v>
      </c>
      <c r="R3" s="134" t="s">
        <v>178</v>
      </c>
      <c r="S3" s="146"/>
      <c r="T3" s="111"/>
    </row>
    <row r="4" spans="1:21" s="98" customFormat="1" ht="15">
      <c r="A4" s="99" t="s">
        <v>202</v>
      </c>
      <c r="B4" s="100"/>
      <c r="C4" s="99">
        <v>746616</v>
      </c>
      <c r="D4" s="99">
        <v>1866540</v>
      </c>
      <c r="E4" s="99">
        <v>1866540</v>
      </c>
      <c r="F4" s="99">
        <f>F5+F6</f>
        <v>4479696</v>
      </c>
      <c r="G4" s="99">
        <v>1866540</v>
      </c>
      <c r="H4" s="99">
        <f>1866540+1866540</f>
        <v>3733080</v>
      </c>
      <c r="I4" s="99">
        <v>2799811</v>
      </c>
      <c r="J4" s="99">
        <f>J5+J6</f>
        <v>8399431</v>
      </c>
      <c r="K4" s="99">
        <v>816130</v>
      </c>
      <c r="L4" s="99">
        <f>250000+265000</f>
        <v>515000</v>
      </c>
      <c r="M4" s="99">
        <f>787680+700000</f>
        <v>1487680</v>
      </c>
      <c r="N4" s="99">
        <f>N5+N6</f>
        <v>2818810</v>
      </c>
      <c r="O4" s="99">
        <v>1969200</v>
      </c>
      <c r="P4" s="99">
        <v>1969200</v>
      </c>
      <c r="Q4" s="99">
        <v>3267872</v>
      </c>
      <c r="R4" s="99">
        <f>R5+R6</f>
        <v>7206272</v>
      </c>
      <c r="S4" s="144">
        <f>S5+S6</f>
        <v>22904209</v>
      </c>
      <c r="T4" s="152">
        <f>T5+T6</f>
        <v>22904209</v>
      </c>
      <c r="U4" s="152">
        <f>T4-S4</f>
        <v>0</v>
      </c>
    </row>
    <row r="5" spans="1:21" s="94" customFormat="1" ht="56.25">
      <c r="A5" s="97" t="s">
        <v>200</v>
      </c>
      <c r="B5" s="96">
        <v>211</v>
      </c>
      <c r="C5" s="143">
        <v>507778</v>
      </c>
      <c r="D5" s="143">
        <v>1269445</v>
      </c>
      <c r="E5" s="143">
        <v>1269445</v>
      </c>
      <c r="F5" s="106">
        <f>SUM(C5:E5)</f>
        <v>3046668</v>
      </c>
      <c r="G5" s="143">
        <v>1269445</v>
      </c>
      <c r="H5" s="143">
        <f>1269445+1269445</f>
        <v>2538890</v>
      </c>
      <c r="I5" s="143">
        <f>761667+380834+550000</f>
        <v>1692501</v>
      </c>
      <c r="J5" s="95">
        <f>SUM(G5:I5)</f>
        <v>5500836</v>
      </c>
      <c r="K5" s="143">
        <f>554900+150000</f>
        <v>704900</v>
      </c>
      <c r="L5" s="143">
        <f>300000+58518.37</f>
        <v>358518.37</v>
      </c>
      <c r="M5" s="143">
        <f>522098+460000+300000</f>
        <v>1282098</v>
      </c>
      <c r="N5" s="95">
        <f>SUM(K5:M5)</f>
        <v>2345516.37</v>
      </c>
      <c r="O5" s="143">
        <v>1305245</v>
      </c>
      <c r="P5" s="143">
        <v>1305245</v>
      </c>
      <c r="Q5" s="143">
        <f>1305245+783147</f>
        <v>2088392</v>
      </c>
      <c r="R5" s="95">
        <f>SUM(O5:Q5)</f>
        <v>4698882</v>
      </c>
      <c r="S5" s="142">
        <f>R5+N5+J5+F5</f>
        <v>15591902.370000001</v>
      </c>
      <c r="T5" s="149">
        <f>'[3]расчет норматива'!$F$24</f>
        <v>15591902.370000001</v>
      </c>
      <c r="U5" s="149">
        <f>T5-S5</f>
        <v>0</v>
      </c>
    </row>
    <row r="6" spans="1:21" s="66" customFormat="1" ht="78">
      <c r="A6" s="88" t="s">
        <v>201</v>
      </c>
      <c r="B6" s="74">
        <v>211</v>
      </c>
      <c r="C6" s="134">
        <f>C4-C5</f>
        <v>238838</v>
      </c>
      <c r="D6" s="134">
        <f>D4-D5</f>
        <v>597095</v>
      </c>
      <c r="E6" s="134">
        <f>E4-E5</f>
        <v>597095</v>
      </c>
      <c r="F6" s="74">
        <f>SUM(C6:E6)</f>
        <v>1433028</v>
      </c>
      <c r="G6" s="134">
        <f>G4-G5</f>
        <v>597095</v>
      </c>
      <c r="H6" s="134">
        <f>H4-H5</f>
        <v>1194190</v>
      </c>
      <c r="I6" s="134">
        <f>I4-I5</f>
        <v>1107310</v>
      </c>
      <c r="J6" s="74">
        <f>SUM(G6:I6)</f>
        <v>2898595</v>
      </c>
      <c r="K6" s="134">
        <f>K4-K5</f>
        <v>111230</v>
      </c>
      <c r="L6" s="134">
        <f>L4-L5</f>
        <v>156481.63</v>
      </c>
      <c r="M6" s="134">
        <f>M4-M5</f>
        <v>205582</v>
      </c>
      <c r="N6" s="74">
        <f>SUM(K6:M6)</f>
        <v>473293.63</v>
      </c>
      <c r="O6" s="134">
        <f>O4-O5</f>
        <v>663955</v>
      </c>
      <c r="P6" s="134">
        <f>P4-P5</f>
        <v>663955</v>
      </c>
      <c r="Q6" s="134">
        <f>Q4-Q5</f>
        <v>1179480</v>
      </c>
      <c r="R6" s="74">
        <f>SUM(O6:Q6)</f>
        <v>2507390</v>
      </c>
      <c r="S6" s="103">
        <f>R6+N6+J6+F6</f>
        <v>7312306.63</v>
      </c>
      <c r="T6" s="132">
        <f>'[3]расчет норматива'!$F$38</f>
        <v>7312306.630000001</v>
      </c>
      <c r="U6" s="149">
        <f>T6-S6</f>
        <v>0</v>
      </c>
    </row>
    <row r="7" spans="1:21" s="145" customFormat="1" ht="56.25">
      <c r="A7" s="141" t="s">
        <v>200</v>
      </c>
      <c r="B7" s="140">
        <v>213</v>
      </c>
      <c r="C7" s="107"/>
      <c r="D7" s="107">
        <v>383372</v>
      </c>
      <c r="E7" s="107">
        <v>383372</v>
      </c>
      <c r="F7" s="106">
        <f>SUM(C7:E7)</f>
        <v>766744</v>
      </c>
      <c r="G7" s="107">
        <v>383372</v>
      </c>
      <c r="H7" s="107">
        <f>383372*2</f>
        <v>766744</v>
      </c>
      <c r="I7" s="107">
        <f>383372+100000</f>
        <v>483372</v>
      </c>
      <c r="J7" s="106">
        <f>SUM(G7:I7)</f>
        <v>1633488</v>
      </c>
      <c r="K7" s="107">
        <f>167600+50000</f>
        <v>217600</v>
      </c>
      <c r="L7" s="107">
        <f>263617+56869</f>
        <v>320486</v>
      </c>
      <c r="M7" s="107">
        <f>143700+50000</f>
        <v>193700</v>
      </c>
      <c r="N7" s="106">
        <f>SUM(K7:M7)</f>
        <v>731786</v>
      </c>
      <c r="O7" s="107">
        <v>394184</v>
      </c>
      <c r="P7" s="107">
        <v>394184</v>
      </c>
      <c r="Q7" s="107">
        <f>394184*2</f>
        <v>788368</v>
      </c>
      <c r="R7" s="106">
        <f>SUM(O7:Q7)</f>
        <v>1576736</v>
      </c>
      <c r="S7" s="105">
        <f>R7+N7+J7+F7</f>
        <v>4708754</v>
      </c>
      <c r="T7" s="150">
        <f>'[3]расчет норматива'!$F$26</f>
        <v>4708754</v>
      </c>
      <c r="U7" s="150">
        <f>S7-T7</f>
        <v>0</v>
      </c>
    </row>
    <row r="8" spans="1:21" s="66" customFormat="1" ht="78">
      <c r="A8" s="88" t="s">
        <v>201</v>
      </c>
      <c r="B8" s="74">
        <v>213</v>
      </c>
      <c r="C8" s="134">
        <f>C9-C7</f>
        <v>0</v>
      </c>
      <c r="D8" s="134">
        <f>D9-D7</f>
        <v>180323</v>
      </c>
      <c r="E8" s="134">
        <f>E9-E7</f>
        <v>180324</v>
      </c>
      <c r="F8" s="74">
        <f>SUM(C8:E8)</f>
        <v>360647</v>
      </c>
      <c r="G8" s="134">
        <f>G9-G7</f>
        <v>180324</v>
      </c>
      <c r="H8" s="134">
        <f>H9-H7</f>
        <v>360648</v>
      </c>
      <c r="I8" s="134">
        <f>I9-I7</f>
        <v>362170</v>
      </c>
      <c r="J8" s="74">
        <f>SUM(G8:I8)</f>
        <v>903142</v>
      </c>
      <c r="K8" s="134">
        <f>K9-K7</f>
        <v>28871</v>
      </c>
      <c r="L8" s="134">
        <f>L9-L7</f>
        <v>67186</v>
      </c>
      <c r="M8" s="134">
        <f>M9-M7</f>
        <v>17700</v>
      </c>
      <c r="N8" s="74">
        <f>SUM(K8:M8)</f>
        <v>113757</v>
      </c>
      <c r="O8" s="134">
        <f>O9-O7</f>
        <v>200514</v>
      </c>
      <c r="P8" s="134">
        <f>P9-P7</f>
        <v>200514</v>
      </c>
      <c r="Q8" s="134">
        <f>Q9-Q7</f>
        <v>429743</v>
      </c>
      <c r="R8" s="74">
        <f>SUM(O8:Q8)</f>
        <v>830771</v>
      </c>
      <c r="S8" s="103">
        <f>R8+N8+J8+F8</f>
        <v>2208317</v>
      </c>
      <c r="T8" s="132">
        <f>'[3]расчет норматива'!$F$40</f>
        <v>2208317</v>
      </c>
      <c r="U8" s="132">
        <f>S8-T8</f>
        <v>0</v>
      </c>
    </row>
    <row r="9" spans="1:21" s="91" customFormat="1" ht="15">
      <c r="A9" s="93" t="s">
        <v>202</v>
      </c>
      <c r="B9" s="92"/>
      <c r="C9" s="92">
        <v>0</v>
      </c>
      <c r="D9" s="92">
        <v>563695</v>
      </c>
      <c r="E9" s="92">
        <v>563696</v>
      </c>
      <c r="F9" s="92">
        <f>F7+F8</f>
        <v>1127391</v>
      </c>
      <c r="G9" s="92">
        <v>563696</v>
      </c>
      <c r="H9" s="92">
        <f>563696*2</f>
        <v>1127392</v>
      </c>
      <c r="I9" s="92">
        <f>563696+281846</f>
        <v>845542</v>
      </c>
      <c r="J9" s="92">
        <f>J7+J8</f>
        <v>2536630</v>
      </c>
      <c r="K9" s="92">
        <v>246471</v>
      </c>
      <c r="L9" s="92">
        <v>387672</v>
      </c>
      <c r="M9" s="92">
        <v>211400</v>
      </c>
      <c r="N9" s="92">
        <f>N7+N8</f>
        <v>845543</v>
      </c>
      <c r="O9" s="92">
        <v>594698</v>
      </c>
      <c r="P9" s="92">
        <v>594698</v>
      </c>
      <c r="Q9" s="92">
        <f>594698*2+28715</f>
        <v>1218111</v>
      </c>
      <c r="R9" s="92">
        <f>R7+R8</f>
        <v>2407507</v>
      </c>
      <c r="S9" s="137">
        <f>S7+S8</f>
        <v>6917071</v>
      </c>
      <c r="T9" s="137">
        <f>+T7+T8</f>
        <v>6917071</v>
      </c>
      <c r="U9" s="132">
        <f>S9-T9</f>
        <v>0</v>
      </c>
    </row>
    <row r="10" spans="1:21" s="98" customFormat="1" ht="15">
      <c r="A10" s="99" t="s">
        <v>199</v>
      </c>
      <c r="B10" s="100"/>
      <c r="C10" s="99">
        <v>83950</v>
      </c>
      <c r="D10" s="99">
        <v>209875</v>
      </c>
      <c r="E10" s="99">
        <v>209875</v>
      </c>
      <c r="F10" s="99">
        <f>F11+F12</f>
        <v>503700</v>
      </c>
      <c r="G10" s="99">
        <v>209875</v>
      </c>
      <c r="H10" s="99">
        <f>209875+167900</f>
        <v>377775</v>
      </c>
      <c r="I10" s="99">
        <f>209875</f>
        <v>209875</v>
      </c>
      <c r="J10" s="99">
        <f>J11+J12</f>
        <v>797525</v>
      </c>
      <c r="K10" s="99">
        <v>37358</v>
      </c>
      <c r="L10" s="99">
        <v>209875</v>
      </c>
      <c r="M10" s="99">
        <f>125925+88567</f>
        <v>214492</v>
      </c>
      <c r="N10" s="99">
        <f>N11+N12</f>
        <v>461725</v>
      </c>
      <c r="O10" s="99">
        <f>132851+88567</f>
        <v>221418</v>
      </c>
      <c r="P10" s="99">
        <v>221418</v>
      </c>
      <c r="Q10" s="99">
        <v>347343</v>
      </c>
      <c r="R10" s="99">
        <f>R11+R12</f>
        <v>790179</v>
      </c>
      <c r="S10" s="144">
        <f>S11+S12</f>
        <v>2553129</v>
      </c>
      <c r="T10" s="144">
        <f>T11+T12</f>
        <v>2553129</v>
      </c>
      <c r="U10" s="132">
        <f>S10-T10</f>
        <v>0</v>
      </c>
    </row>
    <row r="11" spans="1:19" s="94" customFormat="1" ht="56.25">
      <c r="A11" s="97" t="s">
        <v>200</v>
      </c>
      <c r="B11" s="96"/>
      <c r="C11" s="143"/>
      <c r="D11" s="143"/>
      <c r="E11" s="143"/>
      <c r="F11" s="106">
        <f>SUM(C11:E11)</f>
        <v>0</v>
      </c>
      <c r="G11" s="107"/>
      <c r="H11" s="143"/>
      <c r="I11" s="143"/>
      <c r="J11" s="95">
        <f>SUM(G11:I11)</f>
        <v>0</v>
      </c>
      <c r="K11" s="143"/>
      <c r="L11" s="143"/>
      <c r="M11" s="143"/>
      <c r="N11" s="95">
        <f>SUM(K11:M11)</f>
        <v>0</v>
      </c>
      <c r="O11" s="143"/>
      <c r="P11" s="143"/>
      <c r="Q11" s="143">
        <f>P11*1.5</f>
        <v>0</v>
      </c>
      <c r="R11" s="95">
        <f>SUM(O11:Q11)</f>
        <v>0</v>
      </c>
      <c r="S11" s="142">
        <f>R11+N11+J11+F11</f>
        <v>0</v>
      </c>
    </row>
    <row r="12" spans="1:21" s="66" customFormat="1" ht="78">
      <c r="A12" s="88" t="s">
        <v>201</v>
      </c>
      <c r="B12" s="74">
        <v>211</v>
      </c>
      <c r="C12" s="134">
        <f>C10-C11</f>
        <v>83950</v>
      </c>
      <c r="D12" s="134">
        <f>D10-D11</f>
        <v>209875</v>
      </c>
      <c r="E12" s="134">
        <f>E10-E11</f>
        <v>209875</v>
      </c>
      <c r="F12" s="74">
        <f>SUM(C12:E12)</f>
        <v>503700</v>
      </c>
      <c r="G12" s="134">
        <f>G10-G11</f>
        <v>209875</v>
      </c>
      <c r="H12" s="134">
        <f>H10-H11</f>
        <v>377775</v>
      </c>
      <c r="I12" s="134">
        <f>I10-I11</f>
        <v>209875</v>
      </c>
      <c r="J12" s="74">
        <f>SUM(G12:I12)</f>
        <v>797525</v>
      </c>
      <c r="K12" s="134">
        <f>K10-K11</f>
        <v>37358</v>
      </c>
      <c r="L12" s="134">
        <f>L10-L11</f>
        <v>209875</v>
      </c>
      <c r="M12" s="134">
        <f>M10-M11</f>
        <v>214492</v>
      </c>
      <c r="N12" s="74">
        <f>SUM(K12:M12)</f>
        <v>461725</v>
      </c>
      <c r="O12" s="134">
        <f>O10-O11</f>
        <v>221418</v>
      </c>
      <c r="P12" s="134">
        <f>P10-P11</f>
        <v>221418</v>
      </c>
      <c r="Q12" s="134">
        <f>Q10-Q11</f>
        <v>347343</v>
      </c>
      <c r="R12" s="74">
        <f>SUM(O12:Q12)</f>
        <v>790179</v>
      </c>
      <c r="S12" s="103">
        <f>R12+N12+J12+F12</f>
        <v>2553129</v>
      </c>
      <c r="T12" s="132">
        <f>'[3]расчет норматива'!$F$44</f>
        <v>2553129</v>
      </c>
      <c r="U12" s="132">
        <f>T12-S12</f>
        <v>0</v>
      </c>
    </row>
    <row r="13" spans="1:19" s="138" customFormat="1" ht="56.25">
      <c r="A13" s="141" t="s">
        <v>200</v>
      </c>
      <c r="B13" s="140"/>
      <c r="C13" s="139"/>
      <c r="D13" s="107"/>
      <c r="E13" s="107"/>
      <c r="F13" s="106">
        <f>SUM(C13:E13)</f>
        <v>0</v>
      </c>
      <c r="G13" s="107"/>
      <c r="H13" s="107"/>
      <c r="I13" s="107"/>
      <c r="J13" s="106">
        <f>SUM(G13:I13)</f>
        <v>0</v>
      </c>
      <c r="K13" s="107"/>
      <c r="L13" s="107"/>
      <c r="M13" s="107"/>
      <c r="N13" s="106">
        <f>SUM(K13:M13)</f>
        <v>0</v>
      </c>
      <c r="O13" s="107"/>
      <c r="P13" s="143"/>
      <c r="Q13" s="143">
        <f>P13*2</f>
        <v>0</v>
      </c>
      <c r="R13" s="106">
        <f>SUM(O13:Q13)</f>
        <v>0</v>
      </c>
      <c r="S13" s="105">
        <f>R13+N13+J13+F13</f>
        <v>0</v>
      </c>
    </row>
    <row r="14" spans="1:21" s="66" customFormat="1" ht="78">
      <c r="A14" s="88" t="s">
        <v>201</v>
      </c>
      <c r="B14" s="74">
        <v>213</v>
      </c>
      <c r="C14" s="134"/>
      <c r="D14" s="134">
        <v>63382</v>
      </c>
      <c r="E14" s="134">
        <v>63383</v>
      </c>
      <c r="F14" s="74">
        <f>SUM(C14:E14)</f>
        <v>126765</v>
      </c>
      <c r="G14" s="134">
        <v>63382</v>
      </c>
      <c r="H14" s="134">
        <v>63382</v>
      </c>
      <c r="I14" s="134">
        <f>63382+50707</f>
        <v>114089</v>
      </c>
      <c r="J14" s="74">
        <f>SUM(G14:I14)</f>
        <v>240853</v>
      </c>
      <c r="K14" s="134">
        <v>46480</v>
      </c>
      <c r="L14" s="134">
        <v>46480</v>
      </c>
      <c r="M14" s="134">
        <v>46481</v>
      </c>
      <c r="N14" s="74">
        <f>SUM(K14:M14)</f>
        <v>139441</v>
      </c>
      <c r="O14" s="134">
        <v>66868</v>
      </c>
      <c r="P14" s="134">
        <v>66868</v>
      </c>
      <c r="Q14" s="134">
        <f>66868+66868-3486</f>
        <v>130250</v>
      </c>
      <c r="R14" s="74">
        <f>SUM(O14:Q14)</f>
        <v>263986</v>
      </c>
      <c r="S14" s="103">
        <f>R14+N14+J14+F14</f>
        <v>771045</v>
      </c>
      <c r="T14" s="132">
        <f>'[3]расчет норматива'!$F$46</f>
        <v>771045</v>
      </c>
      <c r="U14" s="132">
        <f>T14-S14</f>
        <v>0</v>
      </c>
    </row>
    <row r="15" spans="1:21" s="91" customFormat="1" ht="15">
      <c r="A15" s="93" t="s">
        <v>199</v>
      </c>
      <c r="B15" s="92"/>
      <c r="C15" s="92">
        <f aca="true" t="shared" si="0" ref="C15:J15">C13+C14</f>
        <v>0</v>
      </c>
      <c r="D15" s="92">
        <f>D13+D14</f>
        <v>63382</v>
      </c>
      <c r="E15" s="92">
        <f t="shared" si="0"/>
        <v>63383</v>
      </c>
      <c r="F15" s="92">
        <f t="shared" si="0"/>
        <v>126765</v>
      </c>
      <c r="G15" s="92">
        <f t="shared" si="0"/>
        <v>63382</v>
      </c>
      <c r="H15" s="92">
        <f t="shared" si="0"/>
        <v>63382</v>
      </c>
      <c r="I15" s="92">
        <f t="shared" si="0"/>
        <v>114089</v>
      </c>
      <c r="J15" s="92">
        <f t="shared" si="0"/>
        <v>240853</v>
      </c>
      <c r="K15" s="92">
        <v>112156</v>
      </c>
      <c r="L15" s="92">
        <v>25568</v>
      </c>
      <c r="M15" s="92">
        <v>122102</v>
      </c>
      <c r="N15" s="92">
        <f aca="true" t="shared" si="1" ref="N15:S15">N13+N14</f>
        <v>139441</v>
      </c>
      <c r="O15" s="92">
        <f t="shared" si="1"/>
        <v>66868</v>
      </c>
      <c r="P15" s="92">
        <f t="shared" si="1"/>
        <v>66868</v>
      </c>
      <c r="Q15" s="92">
        <f t="shared" si="1"/>
        <v>130250</v>
      </c>
      <c r="R15" s="92">
        <f t="shared" si="1"/>
        <v>263986</v>
      </c>
      <c r="S15" s="137">
        <f t="shared" si="1"/>
        <v>771045</v>
      </c>
      <c r="U15" s="160"/>
    </row>
    <row r="16" spans="1:21" s="89" customFormat="1" ht="15">
      <c r="A16" s="88" t="s">
        <v>177</v>
      </c>
      <c r="B16" s="90">
        <v>212</v>
      </c>
      <c r="C16" s="136">
        <v>0</v>
      </c>
      <c r="D16" s="134"/>
      <c r="E16" s="134"/>
      <c r="F16" s="74">
        <f>SUM(C16:E16)</f>
        <v>0</v>
      </c>
      <c r="G16" s="134"/>
      <c r="H16" s="134"/>
      <c r="I16" s="134"/>
      <c r="J16" s="74">
        <f>SUM(G16:I16)</f>
        <v>0</v>
      </c>
      <c r="K16" s="134"/>
      <c r="L16" s="134"/>
      <c r="M16" s="134"/>
      <c r="N16" s="74">
        <f>SUM(K16:M16)</f>
        <v>0</v>
      </c>
      <c r="O16" s="134"/>
      <c r="P16" s="134"/>
      <c r="Q16" s="134"/>
      <c r="R16" s="74">
        <f>SUM(O16:Q16)</f>
        <v>0</v>
      </c>
      <c r="S16" s="103">
        <f aca="true" t="shared" si="2" ref="S16:S44">R16+N16+J16+F16</f>
        <v>0</v>
      </c>
      <c r="T16" s="157">
        <f>'[3]расчет норматива'!$F$20</f>
        <v>0</v>
      </c>
      <c r="U16" s="157">
        <f>T16-S16</f>
        <v>0</v>
      </c>
    </row>
    <row r="17" spans="1:21" s="66" customFormat="1" ht="22.5">
      <c r="A17" s="88" t="s">
        <v>176</v>
      </c>
      <c r="B17" s="74">
        <v>212</v>
      </c>
      <c r="C17" s="134"/>
      <c r="D17" s="134">
        <v>350</v>
      </c>
      <c r="E17" s="134">
        <v>350</v>
      </c>
      <c r="F17" s="74">
        <f>SUM(C17:E17)</f>
        <v>700</v>
      </c>
      <c r="G17" s="134">
        <v>350</v>
      </c>
      <c r="H17" s="134">
        <v>350</v>
      </c>
      <c r="I17" s="134">
        <v>350</v>
      </c>
      <c r="J17" s="74">
        <f>SUM(G17:I17)</f>
        <v>1050</v>
      </c>
      <c r="K17" s="134">
        <v>350</v>
      </c>
      <c r="L17" s="134">
        <v>350</v>
      </c>
      <c r="M17" s="134">
        <v>350</v>
      </c>
      <c r="N17" s="74">
        <f>SUM(K17:M17)</f>
        <v>1050</v>
      </c>
      <c r="O17" s="134">
        <v>400</v>
      </c>
      <c r="P17" s="134">
        <v>400</v>
      </c>
      <c r="Q17" s="134">
        <v>600</v>
      </c>
      <c r="R17" s="74">
        <f>SUM(O17:Q17)</f>
        <v>1400</v>
      </c>
      <c r="S17" s="103">
        <f t="shared" si="2"/>
        <v>4200</v>
      </c>
      <c r="T17" s="66">
        <f>'[3]расчет норматива'!$F$35</f>
        <v>4200</v>
      </c>
      <c r="U17" s="157">
        <f aca="true" t="shared" si="3" ref="U17:U46">T17-S17</f>
        <v>0</v>
      </c>
    </row>
    <row r="18" spans="1:21" s="66" customFormat="1" ht="15">
      <c r="A18" s="80" t="s">
        <v>175</v>
      </c>
      <c r="B18" s="74">
        <v>221</v>
      </c>
      <c r="C18" s="134">
        <v>1600</v>
      </c>
      <c r="D18" s="134">
        <v>1600</v>
      </c>
      <c r="E18" s="134">
        <v>1547</v>
      </c>
      <c r="F18" s="74">
        <f>SUM(C18:E18)</f>
        <v>4747</v>
      </c>
      <c r="G18" s="134">
        <v>1600</v>
      </c>
      <c r="H18" s="134">
        <v>1600</v>
      </c>
      <c r="I18" s="134">
        <v>1547</v>
      </c>
      <c r="J18" s="74">
        <f>SUM(G18:I18)</f>
        <v>4747</v>
      </c>
      <c r="K18" s="134">
        <v>1600</v>
      </c>
      <c r="L18" s="134">
        <v>1600</v>
      </c>
      <c r="M18" s="134">
        <v>1547</v>
      </c>
      <c r="N18" s="74">
        <f>SUM(K18:M18)</f>
        <v>4747</v>
      </c>
      <c r="O18" s="134">
        <v>1600</v>
      </c>
      <c r="P18" s="134">
        <v>1600</v>
      </c>
      <c r="Q18" s="134">
        <v>1548</v>
      </c>
      <c r="R18" s="74">
        <f>SUM(O18:Q18)</f>
        <v>4748</v>
      </c>
      <c r="S18" s="103">
        <f t="shared" si="2"/>
        <v>18989</v>
      </c>
      <c r="T18" s="132">
        <f>'[3]проверка'!$D$14</f>
        <v>18989</v>
      </c>
      <c r="U18" s="157">
        <f t="shared" si="3"/>
        <v>0</v>
      </c>
    </row>
    <row r="19" spans="1:21" s="66" customFormat="1" ht="15">
      <c r="A19" s="80" t="s">
        <v>160</v>
      </c>
      <c r="B19" s="74">
        <v>223</v>
      </c>
      <c r="C19" s="74">
        <f>C69+C71+C73+C75+C76</f>
        <v>334986.58999999997</v>
      </c>
      <c r="D19" s="74">
        <f>D69+D71+D73+D75+D76</f>
        <v>340885.11999999994</v>
      </c>
      <c r="E19" s="74">
        <f>E69+E71+E73+E75+E76</f>
        <v>281842.41</v>
      </c>
      <c r="F19" s="74">
        <f>SUM(C19:E19)</f>
        <v>957714.1199999999</v>
      </c>
      <c r="G19" s="74">
        <f>G69+G71+G73+G75+G76</f>
        <v>184074.90000000002</v>
      </c>
      <c r="H19" s="74">
        <f>H69+H71+H73+H75+H76</f>
        <v>92734.84</v>
      </c>
      <c r="I19" s="74">
        <f>I69+I71+I73+I75+I76</f>
        <v>57166.409999999996</v>
      </c>
      <c r="J19" s="74">
        <f>SUM(G19:I19)</f>
        <v>333976.14999999997</v>
      </c>
      <c r="K19" s="74">
        <f>K69+K71+K73+K75+K76</f>
        <v>26603.34</v>
      </c>
      <c r="L19" s="74">
        <f>L69+L71+L73+L75+L76</f>
        <v>32866.29</v>
      </c>
      <c r="M19" s="74">
        <f>M69+M71+M73+M75+M76</f>
        <v>138305.12</v>
      </c>
      <c r="N19" s="74">
        <f>SUM(K19:M19)</f>
        <v>197774.75</v>
      </c>
      <c r="O19" s="74">
        <f>O69+O71+O73+O75+O76</f>
        <v>279656.56</v>
      </c>
      <c r="P19" s="74">
        <f>P69+P71+P73+P75+P76</f>
        <v>332064.08</v>
      </c>
      <c r="Q19" s="74">
        <f>Q69+Q71+Q73+Q75+Q76</f>
        <v>382701.62</v>
      </c>
      <c r="R19" s="74">
        <f>SUM(O19:Q19)</f>
        <v>994422.26</v>
      </c>
      <c r="S19" s="103">
        <f>R19+N19+J19+F19</f>
        <v>2483887.28</v>
      </c>
      <c r="T19" s="132">
        <f>'[3]расчет норматива'!$F$126</f>
        <v>2483887.2800000003</v>
      </c>
      <c r="U19" s="157">
        <f t="shared" si="3"/>
        <v>0</v>
      </c>
    </row>
    <row r="20" spans="1:21" s="85" customFormat="1" ht="24" customHeight="1">
      <c r="A20" s="87" t="s">
        <v>174</v>
      </c>
      <c r="B20" s="86"/>
      <c r="C20" s="86">
        <f>C70+C74</f>
        <v>192350.9</v>
      </c>
      <c r="D20" s="86">
        <f>D70+D74</f>
        <v>194668.11</v>
      </c>
      <c r="E20" s="86">
        <f>E70+E74</f>
        <v>155193.87</v>
      </c>
      <c r="F20" s="86">
        <f>C20+D20+E20</f>
        <v>542212.88</v>
      </c>
      <c r="G20" s="86">
        <f>G70+G74</f>
        <v>72595.4</v>
      </c>
      <c r="H20" s="86">
        <f>H70+H74</f>
        <v>7670.8</v>
      </c>
      <c r="I20" s="86">
        <f>I70+I74</f>
        <v>5268.65</v>
      </c>
      <c r="J20" s="86">
        <f>G20+H20+I20</f>
        <v>85534.84999999999</v>
      </c>
      <c r="K20" s="86">
        <f>K70+K74</f>
        <v>3559.9500000000016</v>
      </c>
      <c r="L20" s="86">
        <f>L70+L74</f>
        <v>4268.640000000002</v>
      </c>
      <c r="M20" s="86">
        <f>M70+M74</f>
        <v>12613.660000000014</v>
      </c>
      <c r="N20" s="86">
        <f>K20+L20+M20</f>
        <v>20442.25000000002</v>
      </c>
      <c r="O20" s="86">
        <f>O70+O74</f>
        <v>112996.62</v>
      </c>
      <c r="P20" s="86">
        <f>P70+P74</f>
        <v>177801.27999999997</v>
      </c>
      <c r="Q20" s="86">
        <f>Q70+Q74</f>
        <v>191738.84</v>
      </c>
      <c r="R20" s="86">
        <f>O20+P20+Q20</f>
        <v>482536.74</v>
      </c>
      <c r="S20" s="135">
        <f>R20+N20+J20+F20</f>
        <v>1130726.72</v>
      </c>
      <c r="T20" s="158">
        <f>'[3]расчет норматива'!$F$134+'[3]расчет норматива'!$F$135</f>
        <v>1130726.72</v>
      </c>
      <c r="U20" s="157">
        <f t="shared" si="3"/>
        <v>0</v>
      </c>
    </row>
    <row r="21" spans="1:21" ht="15">
      <c r="A21" s="82" t="s">
        <v>173</v>
      </c>
      <c r="B21" s="73">
        <v>225</v>
      </c>
      <c r="C21" s="161">
        <v>6221.41</v>
      </c>
      <c r="D21" s="161">
        <v>6221.41</v>
      </c>
      <c r="E21" s="161">
        <v>6221.41</v>
      </c>
      <c r="F21" s="74">
        <f aca="true" t="shared" si="4" ref="F21:F32">SUM(C21:E21)</f>
        <v>18664.23</v>
      </c>
      <c r="G21" s="161">
        <v>6221.41</v>
      </c>
      <c r="H21" s="161">
        <v>6221.41</v>
      </c>
      <c r="I21" s="161">
        <v>6221.41</v>
      </c>
      <c r="J21" s="74">
        <f aca="true" t="shared" si="5" ref="J21:J32">SUM(G21:I21)</f>
        <v>18664.23</v>
      </c>
      <c r="K21" s="161">
        <v>6221.41</v>
      </c>
      <c r="L21" s="161">
        <v>6221.41</v>
      </c>
      <c r="M21" s="161">
        <v>6221.41</v>
      </c>
      <c r="N21" s="74">
        <f aca="true" t="shared" si="6" ref="N21:N32">SUM(K21:M21)</f>
        <v>18664.23</v>
      </c>
      <c r="O21" s="161">
        <f>6221.41+1642.45</f>
        <v>7863.86</v>
      </c>
      <c r="P21" s="161">
        <v>6221.41</v>
      </c>
      <c r="Q21" s="161">
        <v>6221.41</v>
      </c>
      <c r="R21" s="74">
        <f aca="true" t="shared" si="7" ref="R21:R32">SUM(O21:Q21)</f>
        <v>20306.68</v>
      </c>
      <c r="S21" s="103">
        <f>R21+N21+J21+F21</f>
        <v>76299.37</v>
      </c>
      <c r="T21" s="102">
        <f>'[3]п.3'!$F$7+'[3]п.3'!$F$8</f>
        <v>76299.37</v>
      </c>
      <c r="U21" s="157">
        <f>T21-S21</f>
        <v>0</v>
      </c>
    </row>
    <row r="22" spans="1:21" ht="26.25">
      <c r="A22" s="82" t="s">
        <v>172</v>
      </c>
      <c r="B22" s="73">
        <v>225</v>
      </c>
      <c r="C22" s="122">
        <v>489.31</v>
      </c>
      <c r="D22" s="122">
        <v>489.31</v>
      </c>
      <c r="E22" s="122">
        <v>489.31</v>
      </c>
      <c r="F22" s="74">
        <f t="shared" si="4"/>
        <v>1467.93</v>
      </c>
      <c r="G22" s="122">
        <v>489.31</v>
      </c>
      <c r="H22" s="122">
        <v>489.31</v>
      </c>
      <c r="I22" s="122">
        <v>489.31</v>
      </c>
      <c r="J22" s="74">
        <f t="shared" si="5"/>
        <v>1467.93</v>
      </c>
      <c r="K22" s="122">
        <v>489.31</v>
      </c>
      <c r="L22" s="122">
        <v>489.31</v>
      </c>
      <c r="M22" s="122">
        <v>489.31</v>
      </c>
      <c r="N22" s="74">
        <f t="shared" si="6"/>
        <v>1467.93</v>
      </c>
      <c r="O22" s="122">
        <v>489.31</v>
      </c>
      <c r="P22" s="122">
        <v>489.31</v>
      </c>
      <c r="Q22" s="122">
        <v>489.31</v>
      </c>
      <c r="R22" s="74">
        <f t="shared" si="7"/>
        <v>1467.93</v>
      </c>
      <c r="S22" s="103">
        <f t="shared" si="2"/>
        <v>5871.72</v>
      </c>
      <c r="T22" s="102">
        <f>'[3]п.3'!$F$9</f>
        <v>5871.72</v>
      </c>
      <c r="U22" s="157">
        <f t="shared" si="3"/>
        <v>0</v>
      </c>
    </row>
    <row r="23" spans="1:21" ht="15">
      <c r="A23" s="82" t="s">
        <v>171</v>
      </c>
      <c r="B23" s="73">
        <v>225</v>
      </c>
      <c r="C23" s="122"/>
      <c r="D23" s="122"/>
      <c r="E23" s="122">
        <f>5020+206.28</f>
        <v>5226.28</v>
      </c>
      <c r="F23" s="74">
        <f t="shared" si="4"/>
        <v>5226.28</v>
      </c>
      <c r="G23" s="122"/>
      <c r="H23" s="122"/>
      <c r="I23" s="122">
        <f>5020-2183.72</f>
        <v>2836.28</v>
      </c>
      <c r="J23" s="74">
        <f t="shared" si="5"/>
        <v>2836.28</v>
      </c>
      <c r="K23" s="122"/>
      <c r="L23" s="122"/>
      <c r="M23" s="122">
        <v>4113.61</v>
      </c>
      <c r="N23" s="74">
        <f t="shared" si="6"/>
        <v>4113.61</v>
      </c>
      <c r="O23" s="122"/>
      <c r="P23" s="122"/>
      <c r="Q23" s="122">
        <f>5020+2883.83</f>
        <v>7903.83</v>
      </c>
      <c r="R23" s="74">
        <f t="shared" si="7"/>
        <v>7903.83</v>
      </c>
      <c r="S23" s="103">
        <f t="shared" si="2"/>
        <v>20080</v>
      </c>
      <c r="T23" s="102">
        <f>'[3]п.3'!$F$10</f>
        <v>20080</v>
      </c>
      <c r="U23" s="157">
        <f t="shared" si="3"/>
        <v>0</v>
      </c>
    </row>
    <row r="24" spans="1:21" ht="26.25">
      <c r="A24" s="82" t="s">
        <v>170</v>
      </c>
      <c r="B24" s="73">
        <v>225</v>
      </c>
      <c r="C24" s="122">
        <v>5608</v>
      </c>
      <c r="D24" s="122">
        <v>5608</v>
      </c>
      <c r="E24" s="122">
        <v>5608</v>
      </c>
      <c r="F24" s="74">
        <f t="shared" si="4"/>
        <v>16824</v>
      </c>
      <c r="G24" s="122">
        <v>5608</v>
      </c>
      <c r="H24" s="122">
        <v>5608</v>
      </c>
      <c r="I24" s="122">
        <v>5608</v>
      </c>
      <c r="J24" s="74">
        <f t="shared" si="5"/>
        <v>16824</v>
      </c>
      <c r="K24" s="122">
        <v>5608</v>
      </c>
      <c r="L24" s="122">
        <v>5608</v>
      </c>
      <c r="M24" s="122">
        <v>5608</v>
      </c>
      <c r="N24" s="74">
        <f t="shared" si="6"/>
        <v>16824</v>
      </c>
      <c r="O24" s="122">
        <v>5608</v>
      </c>
      <c r="P24" s="122">
        <v>5608</v>
      </c>
      <c r="Q24" s="122">
        <v>5608</v>
      </c>
      <c r="R24" s="74">
        <f t="shared" si="7"/>
        <v>16824</v>
      </c>
      <c r="S24" s="103">
        <f t="shared" si="2"/>
        <v>67296</v>
      </c>
      <c r="T24" s="102">
        <f>'[3]п.3'!$F$11</f>
        <v>67296</v>
      </c>
      <c r="U24" s="157">
        <f t="shared" si="3"/>
        <v>0</v>
      </c>
    </row>
    <row r="25" spans="1:21" ht="26.25">
      <c r="A25" s="82" t="s">
        <v>213</v>
      </c>
      <c r="B25" s="73">
        <v>225</v>
      </c>
      <c r="C25" s="122">
        <v>1400</v>
      </c>
      <c r="D25" s="122">
        <v>1400</v>
      </c>
      <c r="E25" s="122">
        <v>1400</v>
      </c>
      <c r="F25" s="74">
        <f aca="true" t="shared" si="8" ref="F25:F30">SUM(C25:E25)</f>
        <v>4200</v>
      </c>
      <c r="G25" s="122">
        <v>1400</v>
      </c>
      <c r="H25" s="122">
        <v>1400</v>
      </c>
      <c r="I25" s="122">
        <v>1400</v>
      </c>
      <c r="J25" s="74">
        <f aca="true" t="shared" si="9" ref="J25:J30">SUM(G25:I25)</f>
        <v>4200</v>
      </c>
      <c r="K25" s="122">
        <v>1400</v>
      </c>
      <c r="L25" s="122">
        <v>1400</v>
      </c>
      <c r="M25" s="122">
        <v>1400</v>
      </c>
      <c r="N25" s="74">
        <f aca="true" t="shared" si="10" ref="N25:N30">SUM(K25:M25)</f>
        <v>4200</v>
      </c>
      <c r="O25" s="122">
        <v>1400</v>
      </c>
      <c r="P25" s="122">
        <v>1400</v>
      </c>
      <c r="Q25" s="122">
        <v>1400</v>
      </c>
      <c r="R25" s="74">
        <f aca="true" t="shared" si="11" ref="R25:R30">SUM(O25:Q25)</f>
        <v>4200</v>
      </c>
      <c r="S25" s="103">
        <f aca="true" t="shared" si="12" ref="S25:S30">R25+N25+J25+F25</f>
        <v>16800</v>
      </c>
      <c r="T25" s="102">
        <f>'[3]п.3'!$F$13</f>
        <v>16800</v>
      </c>
      <c r="U25" s="157">
        <f t="shared" si="3"/>
        <v>0</v>
      </c>
    </row>
    <row r="26" spans="1:21" ht="15">
      <c r="A26" s="82" t="s">
        <v>214</v>
      </c>
      <c r="B26" s="73">
        <v>225</v>
      </c>
      <c r="C26" s="122"/>
      <c r="D26" s="122"/>
      <c r="E26" s="122"/>
      <c r="F26" s="74">
        <f t="shared" si="8"/>
        <v>0</v>
      </c>
      <c r="G26" s="122">
        <v>0</v>
      </c>
      <c r="H26" s="122">
        <v>0</v>
      </c>
      <c r="I26" s="122">
        <v>0</v>
      </c>
      <c r="J26" s="74">
        <f t="shared" si="9"/>
        <v>0</v>
      </c>
      <c r="K26" s="122"/>
      <c r="L26" s="122"/>
      <c r="M26" s="122"/>
      <c r="N26" s="74">
        <f t="shared" si="10"/>
        <v>0</v>
      </c>
      <c r="O26" s="122">
        <v>0</v>
      </c>
      <c r="P26" s="122">
        <v>0</v>
      </c>
      <c r="Q26" s="122">
        <v>0</v>
      </c>
      <c r="R26" s="74">
        <f t="shared" si="11"/>
        <v>0</v>
      </c>
      <c r="S26" s="103">
        <f t="shared" si="12"/>
        <v>0</v>
      </c>
      <c r="U26" s="157">
        <f t="shared" si="3"/>
        <v>0</v>
      </c>
    </row>
    <row r="27" spans="1:21" ht="15">
      <c r="A27" s="82" t="str">
        <f>'[3]п.3'!$A$16</f>
        <v>Т/О теплосчетчиков</v>
      </c>
      <c r="B27" s="73">
        <v>225</v>
      </c>
      <c r="C27" s="122"/>
      <c r="D27" s="122"/>
      <c r="E27" s="122"/>
      <c r="F27" s="74">
        <f t="shared" si="8"/>
        <v>0</v>
      </c>
      <c r="G27" s="122">
        <v>0</v>
      </c>
      <c r="H27" s="122">
        <v>0</v>
      </c>
      <c r="I27" s="122">
        <v>0</v>
      </c>
      <c r="J27" s="74">
        <f t="shared" si="9"/>
        <v>0</v>
      </c>
      <c r="K27" s="122"/>
      <c r="L27" s="122">
        <v>19262.67</v>
      </c>
      <c r="M27" s="122"/>
      <c r="N27" s="74">
        <f t="shared" si="10"/>
        <v>19262.67</v>
      </c>
      <c r="O27" s="122">
        <v>0</v>
      </c>
      <c r="P27" s="122">
        <v>0</v>
      </c>
      <c r="Q27" s="122">
        <v>0</v>
      </c>
      <c r="R27" s="74">
        <f t="shared" si="11"/>
        <v>0</v>
      </c>
      <c r="S27" s="103">
        <f t="shared" si="12"/>
        <v>19262.67</v>
      </c>
      <c r="T27" s="102">
        <f>'[3]п.3'!$F$16</f>
        <v>19262.67</v>
      </c>
      <c r="U27" s="157">
        <f t="shared" si="3"/>
        <v>0</v>
      </c>
    </row>
    <row r="28" spans="1:21" ht="15">
      <c r="A28" s="82" t="str">
        <f>'[3]п.3'!$A$17</f>
        <v>поверка манометров</v>
      </c>
      <c r="B28" s="73">
        <v>225</v>
      </c>
      <c r="C28" s="122"/>
      <c r="D28" s="122"/>
      <c r="E28" s="122"/>
      <c r="F28" s="74">
        <f t="shared" si="8"/>
        <v>0</v>
      </c>
      <c r="G28" s="122">
        <v>0</v>
      </c>
      <c r="H28" s="122">
        <v>0</v>
      </c>
      <c r="I28" s="122">
        <v>0</v>
      </c>
      <c r="J28" s="74">
        <f t="shared" si="9"/>
        <v>0</v>
      </c>
      <c r="K28" s="122"/>
      <c r="L28" s="122">
        <v>5820</v>
      </c>
      <c r="M28" s="122"/>
      <c r="N28" s="74">
        <f t="shared" si="10"/>
        <v>5820</v>
      </c>
      <c r="O28" s="122">
        <v>0</v>
      </c>
      <c r="P28" s="122">
        <v>0</v>
      </c>
      <c r="Q28" s="122">
        <v>0</v>
      </c>
      <c r="R28" s="74">
        <f t="shared" si="11"/>
        <v>0</v>
      </c>
      <c r="S28" s="103">
        <f t="shared" si="12"/>
        <v>5820</v>
      </c>
      <c r="T28" s="102">
        <f>'[3]п.3'!$F$17</f>
        <v>5820</v>
      </c>
      <c r="U28" s="157">
        <f t="shared" si="3"/>
        <v>0</v>
      </c>
    </row>
    <row r="29" spans="1:21" ht="15">
      <c r="A29" s="82" t="str">
        <f>'[3]п.3'!$A$18</f>
        <v>поверка теплосчетчиков</v>
      </c>
      <c r="B29" s="73">
        <v>225</v>
      </c>
      <c r="C29" s="122"/>
      <c r="D29" s="122"/>
      <c r="E29" s="122"/>
      <c r="F29" s="74">
        <f t="shared" si="8"/>
        <v>0</v>
      </c>
      <c r="G29" s="122"/>
      <c r="H29" s="122"/>
      <c r="I29" s="122">
        <v>18150</v>
      </c>
      <c r="J29" s="74">
        <f t="shared" si="9"/>
        <v>18150</v>
      </c>
      <c r="K29" s="122"/>
      <c r="L29" s="122"/>
      <c r="M29" s="122"/>
      <c r="N29" s="74">
        <f t="shared" si="10"/>
        <v>0</v>
      </c>
      <c r="O29" s="122"/>
      <c r="P29" s="122"/>
      <c r="Q29" s="122"/>
      <c r="R29" s="74">
        <f t="shared" si="11"/>
        <v>0</v>
      </c>
      <c r="S29" s="103">
        <f t="shared" si="12"/>
        <v>18150</v>
      </c>
      <c r="T29" s="102">
        <f>'[3]п.3'!$F$18</f>
        <v>18150</v>
      </c>
      <c r="U29" s="157">
        <f>T29-S29</f>
        <v>0</v>
      </c>
    </row>
    <row r="30" spans="1:21" ht="15">
      <c r="A30" s="82" t="s">
        <v>215</v>
      </c>
      <c r="B30" s="73">
        <v>225</v>
      </c>
      <c r="C30" s="122">
        <v>3210.52</v>
      </c>
      <c r="D30" s="122">
        <v>3210.52</v>
      </c>
      <c r="E30" s="122">
        <v>3210.52</v>
      </c>
      <c r="F30" s="74">
        <f t="shared" si="8"/>
        <v>9631.56</v>
      </c>
      <c r="G30" s="122">
        <v>3210.52</v>
      </c>
      <c r="H30" s="122">
        <v>3210.52</v>
      </c>
      <c r="I30" s="122">
        <v>3210.52</v>
      </c>
      <c r="J30" s="74">
        <f t="shared" si="9"/>
        <v>9631.56</v>
      </c>
      <c r="K30" s="122">
        <v>3210.52</v>
      </c>
      <c r="L30" s="122">
        <v>3210.52</v>
      </c>
      <c r="M30" s="122">
        <v>3210.52</v>
      </c>
      <c r="N30" s="74">
        <f t="shared" si="10"/>
        <v>9631.56</v>
      </c>
      <c r="O30" s="122">
        <v>3210.52</v>
      </c>
      <c r="P30" s="122">
        <v>3210.52</v>
      </c>
      <c r="Q30" s="122">
        <v>3210.52</v>
      </c>
      <c r="R30" s="74">
        <f t="shared" si="11"/>
        <v>9631.56</v>
      </c>
      <c r="S30" s="103">
        <f t="shared" si="12"/>
        <v>38526.24</v>
      </c>
      <c r="T30" s="102">
        <f>'[3]п.3'!$F$19</f>
        <v>38526.24</v>
      </c>
      <c r="U30" s="157">
        <f t="shared" si="3"/>
        <v>0</v>
      </c>
    </row>
    <row r="31" spans="1:21" ht="15">
      <c r="A31" s="82" t="s">
        <v>169</v>
      </c>
      <c r="B31" s="73">
        <v>225</v>
      </c>
      <c r="C31" s="122"/>
      <c r="D31" s="122"/>
      <c r="E31" s="122"/>
      <c r="F31" s="74">
        <f t="shared" si="4"/>
        <v>0</v>
      </c>
      <c r="G31" s="122">
        <v>0</v>
      </c>
      <c r="H31" s="122">
        <v>0</v>
      </c>
      <c r="I31" s="122">
        <v>0</v>
      </c>
      <c r="J31" s="74">
        <f t="shared" si="5"/>
        <v>0</v>
      </c>
      <c r="K31" s="122"/>
      <c r="L31" s="122"/>
      <c r="M31" s="122"/>
      <c r="N31" s="74">
        <f t="shared" si="6"/>
        <v>0</v>
      </c>
      <c r="O31" s="122">
        <v>0</v>
      </c>
      <c r="P31" s="122">
        <v>0</v>
      </c>
      <c r="Q31" s="122">
        <v>0</v>
      </c>
      <c r="R31" s="74">
        <f t="shared" si="7"/>
        <v>0</v>
      </c>
      <c r="S31" s="103">
        <f t="shared" si="2"/>
        <v>0</v>
      </c>
      <c r="U31" s="157">
        <f t="shared" si="3"/>
        <v>0</v>
      </c>
    </row>
    <row r="32" spans="1:21" ht="15">
      <c r="A32" s="82" t="s">
        <v>168</v>
      </c>
      <c r="B32" s="73">
        <v>225</v>
      </c>
      <c r="C32" s="122"/>
      <c r="D32" s="122"/>
      <c r="E32" s="122"/>
      <c r="F32" s="74">
        <f t="shared" si="4"/>
        <v>0</v>
      </c>
      <c r="G32" s="122">
        <v>0</v>
      </c>
      <c r="H32" s="122">
        <v>0</v>
      </c>
      <c r="I32" s="122"/>
      <c r="J32" s="74">
        <f t="shared" si="5"/>
        <v>0</v>
      </c>
      <c r="K32" s="122"/>
      <c r="L32" s="122"/>
      <c r="M32" s="122"/>
      <c r="N32" s="74">
        <f t="shared" si="6"/>
        <v>0</v>
      </c>
      <c r="O32" s="122">
        <v>0</v>
      </c>
      <c r="P32" s="122"/>
      <c r="Q32" s="122">
        <v>0</v>
      </c>
      <c r="R32" s="74">
        <f t="shared" si="7"/>
        <v>0</v>
      </c>
      <c r="S32" s="103">
        <f t="shared" si="2"/>
        <v>0</v>
      </c>
      <c r="T32" s="102"/>
      <c r="U32" s="157">
        <f t="shared" si="3"/>
        <v>0</v>
      </c>
    </row>
    <row r="33" spans="1:21" s="66" customFormat="1" ht="15">
      <c r="A33" s="84" t="s">
        <v>167</v>
      </c>
      <c r="B33" s="74"/>
      <c r="C33" s="74">
        <f>SUM(C21:C32)</f>
        <v>16929.24</v>
      </c>
      <c r="D33" s="74">
        <f>SUM(D21:D32)</f>
        <v>16929.24</v>
      </c>
      <c r="E33" s="74">
        <f>SUM(E21:E32)</f>
        <v>22155.52</v>
      </c>
      <c r="F33" s="74">
        <f aca="true" t="shared" si="13" ref="F33:T33">SUM(F21:F32)</f>
        <v>56014</v>
      </c>
      <c r="G33" s="74">
        <f>SUM(G21:G32)</f>
        <v>16929.24</v>
      </c>
      <c r="H33" s="74">
        <f t="shared" si="13"/>
        <v>16929.24</v>
      </c>
      <c r="I33" s="74">
        <f t="shared" si="13"/>
        <v>37915.52</v>
      </c>
      <c r="J33" s="74">
        <f t="shared" si="13"/>
        <v>71774</v>
      </c>
      <c r="K33" s="74">
        <f t="shared" si="13"/>
        <v>16929.24</v>
      </c>
      <c r="L33" s="74">
        <f t="shared" si="13"/>
        <v>42011.909999999996</v>
      </c>
      <c r="M33" s="74">
        <f t="shared" si="13"/>
        <v>21042.850000000002</v>
      </c>
      <c r="N33" s="74">
        <f>SUM(N21:N32)</f>
        <v>79984</v>
      </c>
      <c r="O33" s="74">
        <f t="shared" si="13"/>
        <v>18571.69</v>
      </c>
      <c r="P33" s="74">
        <f t="shared" si="13"/>
        <v>16929.24</v>
      </c>
      <c r="Q33" s="74">
        <f t="shared" si="13"/>
        <v>24833.07</v>
      </c>
      <c r="R33" s="74">
        <f t="shared" si="13"/>
        <v>60334</v>
      </c>
      <c r="S33" s="103">
        <f t="shared" si="2"/>
        <v>268106</v>
      </c>
      <c r="T33" s="74">
        <f t="shared" si="13"/>
        <v>268106</v>
      </c>
      <c r="U33" s="157">
        <f t="shared" si="3"/>
        <v>0</v>
      </c>
    </row>
    <row r="34" spans="1:21" ht="15">
      <c r="A34" s="82" t="s">
        <v>166</v>
      </c>
      <c r="B34" s="73">
        <v>226</v>
      </c>
      <c r="C34" s="122">
        <v>2005.68</v>
      </c>
      <c r="D34" s="122">
        <v>2005.68</v>
      </c>
      <c r="E34" s="122">
        <v>2005.64</v>
      </c>
      <c r="F34" s="74">
        <f>SUM(C34:E34)</f>
        <v>6017</v>
      </c>
      <c r="G34" s="122">
        <v>2005.68</v>
      </c>
      <c r="H34" s="122">
        <v>2005.68</v>
      </c>
      <c r="I34" s="122">
        <v>2005.64</v>
      </c>
      <c r="J34" s="74">
        <f>SUM(G34:I34)</f>
        <v>6017</v>
      </c>
      <c r="K34" s="122">
        <v>2005.8</v>
      </c>
      <c r="L34" s="122">
        <v>2005.68</v>
      </c>
      <c r="M34" s="122">
        <v>2005.68</v>
      </c>
      <c r="N34" s="74">
        <f>SUM(K34:M34)</f>
        <v>6017.16</v>
      </c>
      <c r="O34" s="122">
        <v>2005.68</v>
      </c>
      <c r="P34" s="122">
        <v>2005.68</v>
      </c>
      <c r="Q34" s="122">
        <v>2005.64</v>
      </c>
      <c r="R34" s="74">
        <f>SUM(O34:Q34)</f>
        <v>6017</v>
      </c>
      <c r="S34" s="103">
        <f t="shared" si="2"/>
        <v>24068.16</v>
      </c>
      <c r="T34" s="102">
        <f>'[1]расчет норматива'!$F$54</f>
        <v>24068.16</v>
      </c>
      <c r="U34" s="157">
        <f t="shared" si="3"/>
        <v>0</v>
      </c>
    </row>
    <row r="35" spans="1:21" ht="26.25">
      <c r="A35" s="82" t="s">
        <v>165</v>
      </c>
      <c r="B35" s="73">
        <v>226</v>
      </c>
      <c r="C35" s="122"/>
      <c r="D35" s="122"/>
      <c r="E35" s="122"/>
      <c r="F35" s="74">
        <f>SUM(C35:E35)</f>
        <v>0</v>
      </c>
      <c r="G35" s="122">
        <v>0</v>
      </c>
      <c r="H35" s="122">
        <v>0</v>
      </c>
      <c r="I35" s="122">
        <v>0</v>
      </c>
      <c r="J35" s="74">
        <f>SUM(G35:I35)</f>
        <v>0</v>
      </c>
      <c r="K35" s="122">
        <v>0</v>
      </c>
      <c r="L35" s="122"/>
      <c r="M35" s="122">
        <v>2574.84</v>
      </c>
      <c r="N35" s="74">
        <f>SUM(K35:M35)</f>
        <v>2574.84</v>
      </c>
      <c r="O35" s="122">
        <v>0</v>
      </c>
      <c r="P35" s="122">
        <v>0</v>
      </c>
      <c r="Q35" s="122">
        <v>0</v>
      </c>
      <c r="R35" s="74">
        <f>SUM(O35:Q35)</f>
        <v>0</v>
      </c>
      <c r="S35" s="103">
        <f t="shared" si="2"/>
        <v>2574.84</v>
      </c>
      <c r="T35" s="102">
        <f>'[3]п.3'!$F$21</f>
        <v>2574.84</v>
      </c>
      <c r="U35" s="157">
        <f t="shared" si="3"/>
        <v>0</v>
      </c>
    </row>
    <row r="36" spans="1:21" ht="15">
      <c r="A36" s="83" t="s">
        <v>164</v>
      </c>
      <c r="B36" s="73">
        <v>226</v>
      </c>
      <c r="C36" s="122"/>
      <c r="D36" s="122"/>
      <c r="E36" s="122"/>
      <c r="F36" s="74">
        <f>SUM(C36:E36)</f>
        <v>0</v>
      </c>
      <c r="G36" s="122">
        <v>0</v>
      </c>
      <c r="H36" s="122">
        <v>0</v>
      </c>
      <c r="I36" s="122">
        <v>0</v>
      </c>
      <c r="J36" s="74">
        <f>SUM(G36:I36)</f>
        <v>0</v>
      </c>
      <c r="K36" s="122">
        <v>0</v>
      </c>
      <c r="L36" s="122">
        <v>0</v>
      </c>
      <c r="M36" s="122">
        <v>0</v>
      </c>
      <c r="N36" s="74">
        <f>SUM(K36:M36)</f>
        <v>0</v>
      </c>
      <c r="O36" s="122">
        <v>0</v>
      </c>
      <c r="P36" s="122">
        <v>0</v>
      </c>
      <c r="Q36" s="122">
        <v>0</v>
      </c>
      <c r="R36" s="74">
        <f>SUM(O36:Q36)</f>
        <v>0</v>
      </c>
      <c r="S36" s="103">
        <f t="shared" si="2"/>
        <v>0</v>
      </c>
      <c r="U36" s="157">
        <f t="shared" si="3"/>
        <v>0</v>
      </c>
    </row>
    <row r="37" spans="1:21" ht="15">
      <c r="A37" s="82" t="s">
        <v>216</v>
      </c>
      <c r="B37" s="73">
        <v>226</v>
      </c>
      <c r="C37" s="122"/>
      <c r="D37" s="122"/>
      <c r="E37" s="122"/>
      <c r="F37" s="74">
        <f>SUM(C37:E37)</f>
        <v>0</v>
      </c>
      <c r="G37" s="122"/>
      <c r="H37" s="122"/>
      <c r="I37" s="122"/>
      <c r="J37" s="74">
        <f>SUM(G37:I37)</f>
        <v>0</v>
      </c>
      <c r="K37" s="122"/>
      <c r="L37" s="122"/>
      <c r="M37" s="122"/>
      <c r="N37" s="74">
        <f>SUM(K37:M37)</f>
        <v>0</v>
      </c>
      <c r="O37" s="122"/>
      <c r="P37" s="122"/>
      <c r="Q37" s="122"/>
      <c r="R37" s="74">
        <f>SUM(O37:Q37)</f>
        <v>0</v>
      </c>
      <c r="S37" s="103">
        <f t="shared" si="2"/>
        <v>0</v>
      </c>
      <c r="U37" s="157">
        <f t="shared" si="3"/>
        <v>0</v>
      </c>
    </row>
    <row r="38" spans="1:21" ht="15">
      <c r="A38" s="81" t="str">
        <f>'[3]п.3'!$A$53</f>
        <v>Мед.осмотр</v>
      </c>
      <c r="B38" s="73">
        <v>226</v>
      </c>
      <c r="C38" s="122"/>
      <c r="D38" s="122"/>
      <c r="E38" s="122"/>
      <c r="F38" s="74">
        <f>SUM(C38:E38)</f>
        <v>0</v>
      </c>
      <c r="G38" s="122">
        <v>0</v>
      </c>
      <c r="H38" s="122">
        <v>0</v>
      </c>
      <c r="I38" s="122">
        <v>0</v>
      </c>
      <c r="J38" s="74">
        <f>SUM(G38:I38)</f>
        <v>0</v>
      </c>
      <c r="K38" s="122">
        <v>0</v>
      </c>
      <c r="L38" s="122">
        <v>178330</v>
      </c>
      <c r="M38" s="122">
        <v>0</v>
      </c>
      <c r="N38" s="74">
        <f>SUM(K38:M38)</f>
        <v>178330</v>
      </c>
      <c r="O38" s="122">
        <v>0</v>
      </c>
      <c r="P38" s="122">
        <v>0</v>
      </c>
      <c r="Q38" s="122">
        <v>0</v>
      </c>
      <c r="R38" s="74">
        <f>SUM(O38:Q38)</f>
        <v>0</v>
      </c>
      <c r="S38" s="103">
        <f t="shared" si="2"/>
        <v>178330</v>
      </c>
      <c r="T38">
        <f>'[3]п.3'!$F$53</f>
        <v>178330</v>
      </c>
      <c r="U38" s="157">
        <f t="shared" si="3"/>
        <v>0</v>
      </c>
    </row>
    <row r="39" spans="1:21" s="66" customFormat="1" ht="15">
      <c r="A39" s="80" t="s">
        <v>163</v>
      </c>
      <c r="B39" s="74"/>
      <c r="C39" s="74">
        <f aca="true" t="shared" si="14" ref="C39:T39">SUM(C34:C38)</f>
        <v>2005.68</v>
      </c>
      <c r="D39" s="74">
        <f t="shared" si="14"/>
        <v>2005.68</v>
      </c>
      <c r="E39" s="74">
        <f t="shared" si="14"/>
        <v>2005.64</v>
      </c>
      <c r="F39" s="74">
        <f t="shared" si="14"/>
        <v>6017</v>
      </c>
      <c r="G39" s="74">
        <f t="shared" si="14"/>
        <v>2005.68</v>
      </c>
      <c r="H39" s="74">
        <f t="shared" si="14"/>
        <v>2005.68</v>
      </c>
      <c r="I39" s="74">
        <f t="shared" si="14"/>
        <v>2005.64</v>
      </c>
      <c r="J39" s="74">
        <f t="shared" si="14"/>
        <v>6017</v>
      </c>
      <c r="K39" s="74">
        <f t="shared" si="14"/>
        <v>2005.8</v>
      </c>
      <c r="L39" s="74">
        <f t="shared" si="14"/>
        <v>180335.68</v>
      </c>
      <c r="M39" s="74">
        <f t="shared" si="14"/>
        <v>4580.52</v>
      </c>
      <c r="N39" s="74">
        <f t="shared" si="14"/>
        <v>186922</v>
      </c>
      <c r="O39" s="74">
        <f t="shared" si="14"/>
        <v>2005.68</v>
      </c>
      <c r="P39" s="74">
        <f t="shared" si="14"/>
        <v>2005.68</v>
      </c>
      <c r="Q39" s="74">
        <f t="shared" si="14"/>
        <v>2005.64</v>
      </c>
      <c r="R39" s="74">
        <f t="shared" si="14"/>
        <v>6017</v>
      </c>
      <c r="S39" s="103">
        <f>R39+N39+J39+F39</f>
        <v>204973</v>
      </c>
      <c r="T39" s="74">
        <f t="shared" si="14"/>
        <v>204973</v>
      </c>
      <c r="U39" s="157">
        <f t="shared" si="3"/>
        <v>0</v>
      </c>
    </row>
    <row r="40" spans="1:21" s="66" customFormat="1" ht="15">
      <c r="A40" s="80" t="s">
        <v>219</v>
      </c>
      <c r="B40" s="74">
        <v>290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59">
        <v>7000</v>
      </c>
      <c r="N40" s="159">
        <f>M40+L40+K40</f>
        <v>7000</v>
      </c>
      <c r="O40" s="74"/>
      <c r="P40" s="74"/>
      <c r="Q40" s="74"/>
      <c r="R40" s="74"/>
      <c r="S40" s="103">
        <f>R40+N40+J40+F40</f>
        <v>7000</v>
      </c>
      <c r="T40" s="131">
        <f>'[3]п.3'!$B$55</f>
        <v>7000</v>
      </c>
      <c r="U40" s="157">
        <f t="shared" si="3"/>
        <v>0</v>
      </c>
    </row>
    <row r="41" spans="1:21" s="66" customFormat="1" ht="25.5">
      <c r="A41" s="80" t="s">
        <v>198</v>
      </c>
      <c r="B41" s="74">
        <v>310</v>
      </c>
      <c r="C41" s="134">
        <v>0</v>
      </c>
      <c r="D41" s="134">
        <v>0</v>
      </c>
      <c r="E41" s="134">
        <v>0</v>
      </c>
      <c r="F41" s="74">
        <f>SUM(C41:E41)</f>
        <v>0</v>
      </c>
      <c r="G41" s="134">
        <v>0</v>
      </c>
      <c r="H41" s="134">
        <v>0</v>
      </c>
      <c r="I41" s="134">
        <v>0</v>
      </c>
      <c r="J41" s="74">
        <f>SUM(G41:I41)</f>
        <v>0</v>
      </c>
      <c r="K41" s="134">
        <v>0</v>
      </c>
      <c r="L41" s="134">
        <v>0</v>
      </c>
      <c r="M41" s="134">
        <v>0</v>
      </c>
      <c r="N41" s="74">
        <f>SUM(K41:M41)</f>
        <v>0</v>
      </c>
      <c r="O41" s="134">
        <v>0</v>
      </c>
      <c r="P41" s="134">
        <v>0</v>
      </c>
      <c r="Q41" s="134">
        <v>0</v>
      </c>
      <c r="R41" s="74">
        <f>SUM(O41:Q41)</f>
        <v>0</v>
      </c>
      <c r="S41" s="103">
        <f>R41+N41+J41+F41</f>
        <v>0</v>
      </c>
      <c r="U41" s="157">
        <f t="shared" si="3"/>
        <v>0</v>
      </c>
    </row>
    <row r="42" spans="1:21" s="66" customFormat="1" ht="25.5">
      <c r="A42" s="79" t="s">
        <v>197</v>
      </c>
      <c r="B42" s="74">
        <v>340</v>
      </c>
      <c r="C42" s="134">
        <v>0</v>
      </c>
      <c r="D42" s="134">
        <v>0</v>
      </c>
      <c r="E42" s="134">
        <v>0</v>
      </c>
      <c r="F42" s="74">
        <f>SUM(C42:E42)</f>
        <v>0</v>
      </c>
      <c r="G42" s="134">
        <v>0</v>
      </c>
      <c r="H42" s="134">
        <v>0</v>
      </c>
      <c r="I42" s="134">
        <v>0</v>
      </c>
      <c r="J42" s="74">
        <f>SUM(G42:I42)</f>
        <v>0</v>
      </c>
      <c r="K42" s="134">
        <v>0</v>
      </c>
      <c r="L42" s="134">
        <v>0</v>
      </c>
      <c r="M42" s="134">
        <v>0</v>
      </c>
      <c r="N42" s="74">
        <f>SUM(K42:M42)</f>
        <v>0</v>
      </c>
      <c r="O42" s="134">
        <v>0</v>
      </c>
      <c r="P42" s="134">
        <v>0</v>
      </c>
      <c r="Q42" s="134">
        <v>0</v>
      </c>
      <c r="R42" s="74">
        <f>SUM(O42:Q42)</f>
        <v>0</v>
      </c>
      <c r="S42" s="103">
        <f>R42+N42+J42+F42</f>
        <v>0</v>
      </c>
      <c r="U42" s="157">
        <f t="shared" si="3"/>
        <v>0</v>
      </c>
    </row>
    <row r="43" spans="1:21" s="66" customFormat="1" ht="25.5">
      <c r="A43" s="80" t="s">
        <v>211</v>
      </c>
      <c r="B43" s="74">
        <v>310</v>
      </c>
      <c r="C43" s="134">
        <v>0</v>
      </c>
      <c r="D43" s="134">
        <v>0</v>
      </c>
      <c r="E43" s="134">
        <v>0</v>
      </c>
      <c r="F43" s="74">
        <f>SUM(C43:E43)</f>
        <v>0</v>
      </c>
      <c r="G43" s="134">
        <v>128630</v>
      </c>
      <c r="H43" s="134">
        <v>0</v>
      </c>
      <c r="I43" s="134">
        <v>0</v>
      </c>
      <c r="J43" s="74">
        <f>SUM(G43:I43)</f>
        <v>128630</v>
      </c>
      <c r="K43" s="134">
        <v>0</v>
      </c>
      <c r="L43" s="134">
        <v>0</v>
      </c>
      <c r="M43" s="134">
        <v>0</v>
      </c>
      <c r="N43" s="74">
        <f>SUM(K43:M43)</f>
        <v>0</v>
      </c>
      <c r="O43" s="134">
        <v>0</v>
      </c>
      <c r="P43" s="134">
        <v>128629</v>
      </c>
      <c r="Q43" s="134">
        <v>0</v>
      </c>
      <c r="R43" s="74">
        <f>SUM(O43:Q43)</f>
        <v>128629</v>
      </c>
      <c r="S43" s="103">
        <f t="shared" si="2"/>
        <v>257259</v>
      </c>
      <c r="T43" s="132">
        <f>'[3]проверка'!$D$9</f>
        <v>257259</v>
      </c>
      <c r="U43" s="157">
        <f t="shared" si="3"/>
        <v>0</v>
      </c>
    </row>
    <row r="44" spans="1:21" s="66" customFormat="1" ht="25.5">
      <c r="A44" s="79" t="s">
        <v>212</v>
      </c>
      <c r="B44" s="74">
        <v>340</v>
      </c>
      <c r="C44" s="134">
        <v>0</v>
      </c>
      <c r="D44" s="134">
        <v>0</v>
      </c>
      <c r="E44" s="134">
        <v>0</v>
      </c>
      <c r="F44" s="74">
        <f>SUM(C44:E44)</f>
        <v>0</v>
      </c>
      <c r="G44" s="134">
        <v>69262</v>
      </c>
      <c r="H44" s="134">
        <v>0</v>
      </c>
      <c r="I44" s="134">
        <v>0</v>
      </c>
      <c r="J44" s="74">
        <f>SUM(G44:I44)</f>
        <v>69262</v>
      </c>
      <c r="K44" s="134">
        <v>0</v>
      </c>
      <c r="L44" s="134">
        <v>0</v>
      </c>
      <c r="M44" s="134">
        <v>0</v>
      </c>
      <c r="N44" s="74">
        <f>SUM(K44:M44)</f>
        <v>0</v>
      </c>
      <c r="O44" s="134">
        <v>0</v>
      </c>
      <c r="P44" s="134">
        <v>70216</v>
      </c>
      <c r="Q44" s="134">
        <v>0</v>
      </c>
      <c r="R44" s="74">
        <f>SUM(O44:Q44)</f>
        <v>70216</v>
      </c>
      <c r="S44" s="103">
        <f t="shared" si="2"/>
        <v>139478</v>
      </c>
      <c r="T44" s="132">
        <f>'[3]проверка'!$D$10</f>
        <v>139478</v>
      </c>
      <c r="U44" s="157">
        <f t="shared" si="3"/>
        <v>0</v>
      </c>
    </row>
    <row r="45" spans="1:21" s="66" customFormat="1" ht="15">
      <c r="A45" s="79" t="s">
        <v>196</v>
      </c>
      <c r="B45" s="74"/>
      <c r="C45" s="74">
        <f aca="true" t="shared" si="15" ref="C45:T45">C4+C9+C43+C44</f>
        <v>746616</v>
      </c>
      <c r="D45" s="74">
        <f t="shared" si="15"/>
        <v>2430235</v>
      </c>
      <c r="E45" s="74">
        <f t="shared" si="15"/>
        <v>2430236</v>
      </c>
      <c r="F45" s="74">
        <f t="shared" si="15"/>
        <v>5607087</v>
      </c>
      <c r="G45" s="74">
        <f t="shared" si="15"/>
        <v>2628128</v>
      </c>
      <c r="H45" s="74">
        <f t="shared" si="15"/>
        <v>4860472</v>
      </c>
      <c r="I45" s="74">
        <f t="shared" si="15"/>
        <v>3645353</v>
      </c>
      <c r="J45" s="74">
        <f t="shared" si="15"/>
        <v>11133953</v>
      </c>
      <c r="K45" s="74">
        <f t="shared" si="15"/>
        <v>1062601</v>
      </c>
      <c r="L45" s="74">
        <f t="shared" si="15"/>
        <v>902672</v>
      </c>
      <c r="M45" s="74">
        <f>M4+M9+M43+M44</f>
        <v>1699080</v>
      </c>
      <c r="N45" s="74">
        <f t="shared" si="15"/>
        <v>3664353</v>
      </c>
      <c r="O45" s="74">
        <f t="shared" si="15"/>
        <v>2563898</v>
      </c>
      <c r="P45" s="74">
        <f t="shared" si="15"/>
        <v>2762743</v>
      </c>
      <c r="Q45" s="74">
        <f t="shared" si="15"/>
        <v>4485983</v>
      </c>
      <c r="R45" s="74">
        <f t="shared" si="15"/>
        <v>9812624</v>
      </c>
      <c r="S45" s="103">
        <f t="shared" si="15"/>
        <v>30218017</v>
      </c>
      <c r="T45" s="74">
        <f t="shared" si="15"/>
        <v>30218017</v>
      </c>
      <c r="U45" s="157">
        <f t="shared" si="3"/>
        <v>0</v>
      </c>
    </row>
    <row r="46" spans="1:21" s="66" customFormat="1" ht="25.5">
      <c r="A46" s="79" t="s">
        <v>195</v>
      </c>
      <c r="B46" s="74"/>
      <c r="C46" s="74">
        <f aca="true" t="shared" si="16" ref="C46:S46">C10+C15+C16</f>
        <v>83950</v>
      </c>
      <c r="D46" s="74">
        <f t="shared" si="16"/>
        <v>273257</v>
      </c>
      <c r="E46" s="74">
        <f t="shared" si="16"/>
        <v>273258</v>
      </c>
      <c r="F46" s="74">
        <f t="shared" si="16"/>
        <v>630465</v>
      </c>
      <c r="G46" s="74">
        <f t="shared" si="16"/>
        <v>273257</v>
      </c>
      <c r="H46" s="74">
        <f t="shared" si="16"/>
        <v>441157</v>
      </c>
      <c r="I46" s="74">
        <f t="shared" si="16"/>
        <v>323964</v>
      </c>
      <c r="J46" s="74">
        <f t="shared" si="16"/>
        <v>1038378</v>
      </c>
      <c r="K46" s="74">
        <f t="shared" si="16"/>
        <v>149514</v>
      </c>
      <c r="L46" s="74">
        <f t="shared" si="16"/>
        <v>235443</v>
      </c>
      <c r="M46" s="74">
        <f>M10+M15+M16</f>
        <v>336594</v>
      </c>
      <c r="N46" s="74">
        <f t="shared" si="16"/>
        <v>601166</v>
      </c>
      <c r="O46" s="74">
        <f t="shared" si="16"/>
        <v>288286</v>
      </c>
      <c r="P46" s="74">
        <f t="shared" si="16"/>
        <v>288286</v>
      </c>
      <c r="Q46" s="74">
        <f t="shared" si="16"/>
        <v>477593</v>
      </c>
      <c r="R46" s="74">
        <f t="shared" si="16"/>
        <v>1054165</v>
      </c>
      <c r="S46" s="74">
        <f t="shared" si="16"/>
        <v>3324174</v>
      </c>
      <c r="U46" s="157">
        <f t="shared" si="3"/>
        <v>-3324174</v>
      </c>
    </row>
    <row r="47" spans="1:21" s="76" customFormat="1" ht="15.75">
      <c r="A47" s="78" t="s">
        <v>162</v>
      </c>
      <c r="B47" s="77"/>
      <c r="C47" s="77">
        <f>C33+C19+C18+C17+C8+C6+C39+C12+C14+C41+C42+C40</f>
        <v>678309.51</v>
      </c>
      <c r="D47" s="77">
        <f>D33+D19+D18+D17+D8+D6+D39+D12+D14+D41+D42+D40</f>
        <v>1412445.0399999998</v>
      </c>
      <c r="E47" s="77">
        <f aca="true" t="shared" si="17" ref="E47:R47">E33+E19+E18+E17+E8+E6+E39+E12+E14+E41+E42+E40</f>
        <v>1358577.5699999998</v>
      </c>
      <c r="F47" s="77">
        <f t="shared" si="17"/>
        <v>3449332.12</v>
      </c>
      <c r="G47" s="77">
        <f t="shared" si="17"/>
        <v>1255635.82</v>
      </c>
      <c r="H47" s="77">
        <f t="shared" si="17"/>
        <v>2109614.76</v>
      </c>
      <c r="I47" s="77">
        <f t="shared" si="17"/>
        <v>1892428.5699999998</v>
      </c>
      <c r="J47" s="77">
        <f>J33+J19+J18+J17+J8+J6+J39+J12+J14+J41+J42+J40</f>
        <v>5257679.15</v>
      </c>
      <c r="K47" s="77">
        <f t="shared" si="17"/>
        <v>271427.38</v>
      </c>
      <c r="L47" s="77">
        <f t="shared" si="17"/>
        <v>737186.51</v>
      </c>
      <c r="M47" s="77">
        <f>M33+M19+M18+M17+M8+M6+M39+M12+M14+M41+M42+M40</f>
        <v>657080.49</v>
      </c>
      <c r="N47" s="77">
        <f t="shared" si="17"/>
        <v>1665694.38</v>
      </c>
      <c r="O47" s="77">
        <f t="shared" si="17"/>
        <v>1454988.93</v>
      </c>
      <c r="P47" s="77">
        <f t="shared" si="17"/>
        <v>1505754</v>
      </c>
      <c r="Q47" s="77">
        <f t="shared" si="17"/>
        <v>2498504.33</v>
      </c>
      <c r="R47" s="77">
        <f t="shared" si="17"/>
        <v>5459247.26</v>
      </c>
      <c r="S47" s="133">
        <f>F47+J47+N47+R47</f>
        <v>15831952.909999998</v>
      </c>
      <c r="T47" s="153">
        <f>'[3]расчет норматива'!$F$127</f>
        <v>15831952.91</v>
      </c>
      <c r="U47" s="153">
        <f>T47-S47</f>
        <v>0</v>
      </c>
    </row>
    <row r="48" spans="1:21" s="66" customFormat="1" ht="15">
      <c r="A48" s="127" t="s">
        <v>194</v>
      </c>
      <c r="B48" s="131"/>
      <c r="C48" s="131">
        <f>C6+C8</f>
        <v>238838</v>
      </c>
      <c r="D48" s="131">
        <f>D6+D8</f>
        <v>777418</v>
      </c>
      <c r="E48" s="131">
        <f>E6+E8</f>
        <v>777419</v>
      </c>
      <c r="F48" s="74">
        <f>SUM(C48:E48)</f>
        <v>1793675</v>
      </c>
      <c r="G48" s="131">
        <f>G6+G8</f>
        <v>777419</v>
      </c>
      <c r="H48" s="131">
        <f>H6+H8</f>
        <v>1554838</v>
      </c>
      <c r="I48" s="131">
        <f>I6+I8</f>
        <v>1469480</v>
      </c>
      <c r="J48" s="131">
        <f>SUM(G48:I48)</f>
        <v>3801737</v>
      </c>
      <c r="K48" s="131">
        <f>K6+K8</f>
        <v>140101</v>
      </c>
      <c r="L48" s="131">
        <f>L6+L8</f>
        <v>223667.63</v>
      </c>
      <c r="M48" s="131">
        <f>M6+M8</f>
        <v>223282</v>
      </c>
      <c r="N48" s="131">
        <f>SUM(K48:M48)</f>
        <v>587050.63</v>
      </c>
      <c r="O48" s="131">
        <f>O6+O8</f>
        <v>864469</v>
      </c>
      <c r="P48" s="131">
        <f>P6+P8</f>
        <v>864469</v>
      </c>
      <c r="Q48" s="131">
        <f>Q6+Q8</f>
        <v>1609223</v>
      </c>
      <c r="R48" s="131">
        <f>SUM(O48:Q48)</f>
        <v>3338161</v>
      </c>
      <c r="S48" s="130">
        <f>F48+J48+N48+R48</f>
        <v>9520623.629999999</v>
      </c>
      <c r="T48" s="132"/>
      <c r="U48" s="153">
        <f>T48-S48</f>
        <v>-9520623.629999999</v>
      </c>
    </row>
    <row r="49" spans="1:21" s="66" customFormat="1" ht="15">
      <c r="A49" s="128" t="s">
        <v>193</v>
      </c>
      <c r="B49" s="131"/>
      <c r="C49" s="131">
        <f>C12+C14+C17+C18+C19+C33+C39+C41+C42+C40</f>
        <v>439471.50999999995</v>
      </c>
      <c r="D49" s="131">
        <f aca="true" t="shared" si="18" ref="D49:R49">D12+D14+D17+D18+D19+D33+D39+D41+D42+D40</f>
        <v>635027.0399999999</v>
      </c>
      <c r="E49" s="131">
        <f>E12+E14+E17+E18+E19+E33+E39+E41+E42+E40</f>
        <v>581158.57</v>
      </c>
      <c r="F49" s="131">
        <f t="shared" si="18"/>
        <v>1655657.1199999999</v>
      </c>
      <c r="G49" s="131">
        <f t="shared" si="18"/>
        <v>478216.82</v>
      </c>
      <c r="H49" s="131">
        <f t="shared" si="18"/>
        <v>554776.76</v>
      </c>
      <c r="I49" s="131">
        <f t="shared" si="18"/>
        <v>422948.57</v>
      </c>
      <c r="J49" s="131">
        <f t="shared" si="18"/>
        <v>1455942.15</v>
      </c>
      <c r="K49" s="131">
        <f>K12+K14+K17+K18+K19+K33+K39+K41+K42+K40</f>
        <v>131326.38</v>
      </c>
      <c r="L49" s="131">
        <f t="shared" si="18"/>
        <v>513518.87999999995</v>
      </c>
      <c r="M49" s="131">
        <f t="shared" si="18"/>
        <v>433798.49</v>
      </c>
      <c r="N49" s="131">
        <f t="shared" si="18"/>
        <v>1078643.75</v>
      </c>
      <c r="O49" s="131">
        <f t="shared" si="18"/>
        <v>590519.93</v>
      </c>
      <c r="P49" s="131">
        <f t="shared" si="18"/>
        <v>641285.0000000001</v>
      </c>
      <c r="Q49" s="131">
        <f t="shared" si="18"/>
        <v>889281.33</v>
      </c>
      <c r="R49" s="131">
        <f t="shared" si="18"/>
        <v>2121086.26</v>
      </c>
      <c r="S49" s="130">
        <f>F49+J49+N49+R49</f>
        <v>6311329.279999999</v>
      </c>
      <c r="T49" s="132"/>
      <c r="U49" s="153">
        <f aca="true" t="shared" si="19" ref="U49:U59">T49-S49</f>
        <v>-6311329.279999999</v>
      </c>
    </row>
    <row r="50" spans="19:21" s="104" customFormat="1" ht="15">
      <c r="S50" s="129"/>
      <c r="U50" s="153">
        <f t="shared" si="19"/>
        <v>0</v>
      </c>
    </row>
    <row r="51" spans="1:21" s="75" customFormat="1" ht="15">
      <c r="A51" s="71" t="s">
        <v>161</v>
      </c>
      <c r="B51" s="71"/>
      <c r="C51" s="71">
        <f aca="true" t="shared" si="20" ref="C51:R51">C5+C7+C16+C11+C13+C43+C44</f>
        <v>507778</v>
      </c>
      <c r="D51" s="71">
        <f t="shared" si="20"/>
        <v>1652817</v>
      </c>
      <c r="E51" s="71">
        <f t="shared" si="20"/>
        <v>1652817</v>
      </c>
      <c r="F51" s="71">
        <f t="shared" si="20"/>
        <v>3813412</v>
      </c>
      <c r="G51" s="71">
        <f t="shared" si="20"/>
        <v>1850709</v>
      </c>
      <c r="H51" s="71">
        <f t="shared" si="20"/>
        <v>3305634</v>
      </c>
      <c r="I51" s="71">
        <f t="shared" si="20"/>
        <v>2175873</v>
      </c>
      <c r="J51" s="71">
        <f t="shared" si="20"/>
        <v>7332216</v>
      </c>
      <c r="K51" s="71">
        <f t="shared" si="20"/>
        <v>922500</v>
      </c>
      <c r="L51" s="71">
        <f t="shared" si="20"/>
        <v>679004.37</v>
      </c>
      <c r="M51" s="71">
        <f t="shared" si="20"/>
        <v>1475798</v>
      </c>
      <c r="N51" s="71">
        <f t="shared" si="20"/>
        <v>3077302.37</v>
      </c>
      <c r="O51" s="71">
        <f t="shared" si="20"/>
        <v>1699429</v>
      </c>
      <c r="P51" s="71">
        <f t="shared" si="20"/>
        <v>1898274</v>
      </c>
      <c r="Q51" s="71">
        <f t="shared" si="20"/>
        <v>2876760</v>
      </c>
      <c r="R51" s="71">
        <f t="shared" si="20"/>
        <v>6474463</v>
      </c>
      <c r="S51" s="120">
        <f>S5+S7+S16+S11+S13+S43+S44</f>
        <v>20697393.37</v>
      </c>
      <c r="T51" s="154">
        <f>'[3]расчет норматива'!$F$15</f>
        <v>20697393.37</v>
      </c>
      <c r="U51" s="153">
        <f t="shared" si="19"/>
        <v>0</v>
      </c>
    </row>
    <row r="52" spans="1:21" s="128" customFormat="1" ht="15">
      <c r="A52" s="127" t="s">
        <v>194</v>
      </c>
      <c r="B52" s="127"/>
      <c r="C52" s="127">
        <f>C5+C7+C43+C44</f>
        <v>507778</v>
      </c>
      <c r="D52" s="127">
        <f>D5+D7+D43+D44</f>
        <v>1652817</v>
      </c>
      <c r="E52" s="127">
        <f>E5+E7+E43+E44</f>
        <v>1652817</v>
      </c>
      <c r="F52" s="127">
        <f>SUM(C52:E52)</f>
        <v>3813412</v>
      </c>
      <c r="G52" s="127">
        <f>G5+G7+G43+G44</f>
        <v>1850709</v>
      </c>
      <c r="H52" s="127">
        <f>H5+H7+H43+H44</f>
        <v>3305634</v>
      </c>
      <c r="I52" s="127">
        <f>I5+I7+I43+I44</f>
        <v>2175873</v>
      </c>
      <c r="J52" s="127">
        <f>SUM(G52:I52)</f>
        <v>7332216</v>
      </c>
      <c r="K52" s="127">
        <f>K5+K7+K43+K44</f>
        <v>922500</v>
      </c>
      <c r="L52" s="127">
        <f>L5+L7+L43+L44</f>
        <v>679004.37</v>
      </c>
      <c r="M52" s="127">
        <f>M5+M7+M43+M44</f>
        <v>1475798</v>
      </c>
      <c r="N52" s="127">
        <f>SUM(K52:M52)</f>
        <v>3077302.37</v>
      </c>
      <c r="O52" s="127">
        <f>O5+O7+O43+O44</f>
        <v>1699429</v>
      </c>
      <c r="P52" s="127">
        <f>P5+P7+P43+P44</f>
        <v>1898274</v>
      </c>
      <c r="Q52" s="127">
        <f>Q5+Q7+Q43+Q44</f>
        <v>2876760</v>
      </c>
      <c r="R52" s="127">
        <f>SUM(O52:Q52)</f>
        <v>6474463</v>
      </c>
      <c r="S52" s="126">
        <f>F52+J52+N52+R52</f>
        <v>20697393.37</v>
      </c>
      <c r="U52" s="153">
        <f t="shared" si="19"/>
        <v>-20697393.37</v>
      </c>
    </row>
    <row r="53" spans="1:21" s="66" customFormat="1" ht="15">
      <c r="A53" s="128" t="s">
        <v>193</v>
      </c>
      <c r="F53" s="127">
        <f>SUM(C53:E53)</f>
        <v>0</v>
      </c>
      <c r="J53" s="127">
        <f>SUM(G53:I53)</f>
        <v>0</v>
      </c>
      <c r="N53" s="127">
        <f>SUM(K53:M53)</f>
        <v>0</v>
      </c>
      <c r="R53" s="127">
        <f>SUM(O53:Q53)</f>
        <v>0</v>
      </c>
      <c r="S53" s="126">
        <f>F53+J53+N53+R53</f>
        <v>0</v>
      </c>
      <c r="U53" s="153">
        <f t="shared" si="19"/>
        <v>0</v>
      </c>
    </row>
    <row r="54" spans="1:21" ht="15">
      <c r="A54" s="125"/>
      <c r="F54" s="124"/>
      <c r="J54" s="124"/>
      <c r="N54" s="124"/>
      <c r="R54" s="124"/>
      <c r="S54" s="123"/>
      <c r="U54" s="153">
        <f t="shared" si="19"/>
        <v>0</v>
      </c>
    </row>
    <row r="55" spans="1:21" s="66" customFormat="1" ht="15">
      <c r="A55" s="74" t="s">
        <v>160</v>
      </c>
      <c r="B55" s="74">
        <v>223</v>
      </c>
      <c r="C55" s="74">
        <f aca="true" t="shared" si="21" ref="C55:S55">C20</f>
        <v>192350.9</v>
      </c>
      <c r="D55" s="74">
        <f t="shared" si="21"/>
        <v>194668.11</v>
      </c>
      <c r="E55" s="74">
        <f t="shared" si="21"/>
        <v>155193.87</v>
      </c>
      <c r="F55" s="74">
        <f t="shared" si="21"/>
        <v>542212.88</v>
      </c>
      <c r="G55" s="74">
        <f t="shared" si="21"/>
        <v>72595.4</v>
      </c>
      <c r="H55" s="74">
        <f t="shared" si="21"/>
        <v>7670.8</v>
      </c>
      <c r="I55" s="74">
        <f t="shared" si="21"/>
        <v>5268.65</v>
      </c>
      <c r="J55" s="74">
        <f t="shared" si="21"/>
        <v>85534.84999999999</v>
      </c>
      <c r="K55" s="74">
        <f t="shared" si="21"/>
        <v>3559.9500000000016</v>
      </c>
      <c r="L55" s="74">
        <f t="shared" si="21"/>
        <v>4268.640000000002</v>
      </c>
      <c r="M55" s="74">
        <f t="shared" si="21"/>
        <v>12613.660000000014</v>
      </c>
      <c r="N55" s="74">
        <f t="shared" si="21"/>
        <v>20442.25000000002</v>
      </c>
      <c r="O55" s="74">
        <f t="shared" si="21"/>
        <v>112996.62</v>
      </c>
      <c r="P55" s="74">
        <f t="shared" si="21"/>
        <v>177801.27999999997</v>
      </c>
      <c r="Q55" s="74">
        <f t="shared" si="21"/>
        <v>191738.84</v>
      </c>
      <c r="R55" s="74">
        <f t="shared" si="21"/>
        <v>482536.74</v>
      </c>
      <c r="S55" s="103">
        <f t="shared" si="21"/>
        <v>1130726.72</v>
      </c>
      <c r="T55" s="132">
        <f>'[3]расчет норматива'!$F$134+'[3]расчет норматива'!$F$135</f>
        <v>1130726.72</v>
      </c>
      <c r="U55" s="153">
        <f t="shared" si="19"/>
        <v>0</v>
      </c>
    </row>
    <row r="56" spans="1:21" ht="15.75" customHeight="1">
      <c r="A56" s="73" t="s">
        <v>159</v>
      </c>
      <c r="B56" s="73">
        <v>290</v>
      </c>
      <c r="C56" s="122">
        <v>600014</v>
      </c>
      <c r="D56" s="122">
        <v>0</v>
      </c>
      <c r="E56" s="122">
        <v>0</v>
      </c>
      <c r="F56" s="74">
        <f>C56+D56+E56</f>
        <v>600014</v>
      </c>
      <c r="G56" s="122">
        <v>600014</v>
      </c>
      <c r="H56" s="122">
        <v>0</v>
      </c>
      <c r="I56" s="122">
        <v>0</v>
      </c>
      <c r="J56" s="74">
        <f>G56+H56+I56</f>
        <v>600014</v>
      </c>
      <c r="K56" s="122">
        <v>600014</v>
      </c>
      <c r="L56" s="122">
        <v>0</v>
      </c>
      <c r="M56" s="122"/>
      <c r="N56" s="74">
        <f>K56+L56+M56</f>
        <v>600014</v>
      </c>
      <c r="O56" s="122">
        <v>600012</v>
      </c>
      <c r="P56" s="122">
        <v>0</v>
      </c>
      <c r="Q56" s="122">
        <v>0</v>
      </c>
      <c r="R56" s="74">
        <f>O56+P56+Q56</f>
        <v>600012</v>
      </c>
      <c r="S56" s="121">
        <f>R56+J56+F56+N56</f>
        <v>2400054</v>
      </c>
      <c r="T56" s="102">
        <f>'[3]расчет норматива'!$F$139-'[3]расчет норматива'!$F$134-'[3]расчет норматива'!$F$135</f>
        <v>2400054</v>
      </c>
      <c r="U56" s="153">
        <f t="shared" si="19"/>
        <v>0</v>
      </c>
    </row>
    <row r="57" spans="1:21" s="70" customFormat="1" ht="15">
      <c r="A57" s="71" t="s">
        <v>158</v>
      </c>
      <c r="B57" s="72"/>
      <c r="C57" s="71">
        <f>C55+C56</f>
        <v>792364.9</v>
      </c>
      <c r="D57" s="71">
        <f aca="true" t="shared" si="22" ref="D57:R57">D55+D56</f>
        <v>194668.11</v>
      </c>
      <c r="E57" s="71">
        <f t="shared" si="22"/>
        <v>155193.87</v>
      </c>
      <c r="F57" s="71">
        <f t="shared" si="22"/>
        <v>1142226.88</v>
      </c>
      <c r="G57" s="71">
        <f t="shared" si="22"/>
        <v>672609.4</v>
      </c>
      <c r="H57" s="71">
        <f t="shared" si="22"/>
        <v>7670.8</v>
      </c>
      <c r="I57" s="71">
        <f t="shared" si="22"/>
        <v>5268.65</v>
      </c>
      <c r="J57" s="71">
        <f t="shared" si="22"/>
        <v>685548.85</v>
      </c>
      <c r="K57" s="71">
        <f>K55+K56</f>
        <v>603573.95</v>
      </c>
      <c r="L57" s="71">
        <f t="shared" si="22"/>
        <v>4268.640000000002</v>
      </c>
      <c r="M57" s="71">
        <f t="shared" si="22"/>
        <v>12613.660000000014</v>
      </c>
      <c r="N57" s="71">
        <f t="shared" si="22"/>
        <v>620456.25</v>
      </c>
      <c r="O57" s="71">
        <f t="shared" si="22"/>
        <v>713008.62</v>
      </c>
      <c r="P57" s="71">
        <f t="shared" si="22"/>
        <v>177801.27999999997</v>
      </c>
      <c r="Q57" s="71">
        <f t="shared" si="22"/>
        <v>191738.84</v>
      </c>
      <c r="R57" s="71">
        <f t="shared" si="22"/>
        <v>1082548.74</v>
      </c>
      <c r="S57" s="120">
        <f>S55+S56</f>
        <v>3530780.7199999997</v>
      </c>
      <c r="T57" s="155">
        <f>'[3]расчет норматива'!$F$139</f>
        <v>3530780.72</v>
      </c>
      <c r="U57" s="153">
        <f t="shared" si="19"/>
        <v>0</v>
      </c>
    </row>
    <row r="58" spans="20:21" ht="15">
      <c r="T58" s="102"/>
      <c r="U58" s="153">
        <f t="shared" si="19"/>
        <v>0</v>
      </c>
    </row>
    <row r="59" spans="1:21" s="67" customFormat="1" ht="15.75">
      <c r="A59" s="69" t="s">
        <v>157</v>
      </c>
      <c r="B59" s="69"/>
      <c r="C59" s="69">
        <f aca="true" t="shared" si="23" ref="C59:R59">C57+C51+C47</f>
        <v>1978452.41</v>
      </c>
      <c r="D59" s="69">
        <f t="shared" si="23"/>
        <v>3259930.1499999994</v>
      </c>
      <c r="E59" s="69">
        <f t="shared" si="23"/>
        <v>3166588.44</v>
      </c>
      <c r="F59" s="68">
        <f t="shared" si="23"/>
        <v>8404971</v>
      </c>
      <c r="G59" s="69">
        <f t="shared" si="23"/>
        <v>3778954.2199999997</v>
      </c>
      <c r="H59" s="69">
        <f t="shared" si="23"/>
        <v>5422919.56</v>
      </c>
      <c r="I59" s="69">
        <f t="shared" si="23"/>
        <v>4073570.2199999997</v>
      </c>
      <c r="J59" s="68">
        <f t="shared" si="23"/>
        <v>13275444</v>
      </c>
      <c r="K59" s="69">
        <f t="shared" si="23"/>
        <v>1797501.33</v>
      </c>
      <c r="L59" s="69">
        <f t="shared" si="23"/>
        <v>1420459.52</v>
      </c>
      <c r="M59" s="69">
        <f t="shared" si="23"/>
        <v>2145492.15</v>
      </c>
      <c r="N59" s="68">
        <f t="shared" si="23"/>
        <v>5363453</v>
      </c>
      <c r="O59" s="69">
        <f t="shared" si="23"/>
        <v>3867426.55</v>
      </c>
      <c r="P59" s="69">
        <f t="shared" si="23"/>
        <v>3581829.2800000003</v>
      </c>
      <c r="Q59" s="69">
        <f t="shared" si="23"/>
        <v>5567003.17</v>
      </c>
      <c r="R59" s="68">
        <f t="shared" si="23"/>
        <v>13016259</v>
      </c>
      <c r="S59" s="119">
        <f>S57+S51+S47</f>
        <v>40060127</v>
      </c>
      <c r="T59" s="156">
        <f>'[3]расчет норматива'!$F$140</f>
        <v>40060127</v>
      </c>
      <c r="U59" s="153">
        <f t="shared" si="19"/>
        <v>0</v>
      </c>
    </row>
    <row r="60" spans="1:19" s="110" customFormat="1" ht="15">
      <c r="A60" s="115"/>
      <c r="C60" s="111">
        <f>'[2]СОШ №68'!J20+'[2]СОШ №68'!J23+'[2]СОШ №68'!J99+'[2]СОШ №68'!J107</f>
        <v>1756792.99</v>
      </c>
      <c r="D60" s="111">
        <f>'[2]СОШ №68'!K20+'[2]СОШ №68'!K23+'[2]СОШ №68'!K99+'[2]СОШ №68'!K107</f>
        <v>2963136.08</v>
      </c>
      <c r="E60" s="111">
        <f>'[2]СОШ №68'!L20+'[2]СОШ №68'!L23+'[2]СОШ №68'!L99+'[2]СОШ №68'!L107</f>
        <v>3190963.93</v>
      </c>
      <c r="F60" s="112"/>
      <c r="J60" s="112"/>
      <c r="N60" s="112"/>
      <c r="R60" s="112"/>
      <c r="S60" s="111"/>
    </row>
    <row r="61" spans="2:19" s="116" customFormat="1" ht="15">
      <c r="B61" s="118"/>
      <c r="C61" s="117">
        <f>C59-C60</f>
        <v>221659.41999999993</v>
      </c>
      <c r="D61" s="117">
        <f>D59-D60</f>
        <v>296794.06999999937</v>
      </c>
      <c r="E61" s="117">
        <f>E59-E60</f>
        <v>-24375.490000000224</v>
      </c>
      <c r="S61" s="117"/>
    </row>
    <row r="62" spans="1:19" s="110" customFormat="1" ht="15">
      <c r="A62" s="115" t="s">
        <v>156</v>
      </c>
      <c r="B62" s="114"/>
      <c r="F62" s="112" t="s">
        <v>217</v>
      </c>
      <c r="J62" s="112"/>
      <c r="N62" s="112"/>
      <c r="R62" s="112"/>
      <c r="S62" s="111"/>
    </row>
    <row r="63" spans="6:19" s="110" customFormat="1" ht="15">
      <c r="F63" s="112"/>
      <c r="J63" s="112"/>
      <c r="N63" s="112"/>
      <c r="R63" s="112"/>
      <c r="S63" s="111"/>
    </row>
    <row r="64" spans="1:19" s="110" customFormat="1" ht="15">
      <c r="A64" s="110" t="s">
        <v>155</v>
      </c>
      <c r="F64" s="112" t="s">
        <v>218</v>
      </c>
      <c r="J64" s="112"/>
      <c r="N64" s="112"/>
      <c r="R64" s="112"/>
      <c r="S64" s="111"/>
    </row>
    <row r="65" spans="6:19" s="110" customFormat="1" ht="15">
      <c r="F65" s="112"/>
      <c r="J65" s="112"/>
      <c r="N65" s="112"/>
      <c r="R65" s="112"/>
      <c r="S65" s="111"/>
    </row>
    <row r="66" spans="6:19" s="110" customFormat="1" ht="15">
      <c r="F66" s="112"/>
      <c r="J66" s="112"/>
      <c r="N66" s="112"/>
      <c r="R66" s="112"/>
      <c r="S66" s="111"/>
    </row>
    <row r="67" spans="1:19" s="110" customFormat="1" ht="15">
      <c r="A67" s="113" t="s">
        <v>192</v>
      </c>
      <c r="F67" s="112"/>
      <c r="J67" s="112"/>
      <c r="N67" s="112"/>
      <c r="R67" s="112"/>
      <c r="S67" s="111"/>
    </row>
    <row r="68" spans="1:21" s="104" customFormat="1" ht="15">
      <c r="A68" s="106" t="s">
        <v>191</v>
      </c>
      <c r="B68" s="106"/>
      <c r="C68" s="107">
        <v>361301.8</v>
      </c>
      <c r="D68" s="107">
        <v>361943.72</v>
      </c>
      <c r="E68" s="107">
        <v>286960.74</v>
      </c>
      <c r="F68" s="106">
        <f aca="true" t="shared" si="24" ref="F68:F76">C68+D68+E68</f>
        <v>1010206.26</v>
      </c>
      <c r="G68" s="107">
        <v>125705.8</v>
      </c>
      <c r="H68" s="107">
        <v>3536.1</v>
      </c>
      <c r="I68" s="107">
        <v>3652.31</v>
      </c>
      <c r="J68" s="106">
        <f aca="true" t="shared" si="25" ref="J68:J76">G68+H68+I68</f>
        <v>132894.21000000002</v>
      </c>
      <c r="K68" s="107">
        <f>ROUND(3729.78*1.1265,2)</f>
        <v>4201.6</v>
      </c>
      <c r="L68" s="107">
        <f>ROUND(3287.08*1.1265,2)</f>
        <v>3702.9</v>
      </c>
      <c r="M68" s="107">
        <f>ROUND(3408.82*1.1265,2)-0.01</f>
        <v>3840.0299999999997</v>
      </c>
      <c r="N68" s="106">
        <f aca="true" t="shared" si="26" ref="N68:N76">K68+L68+M68</f>
        <v>11744.529999999999</v>
      </c>
      <c r="O68" s="107">
        <f>ROUND(174370.04*1.1265,2)</f>
        <v>196427.85</v>
      </c>
      <c r="P68" s="107">
        <f>ROUND(290369.55*1.1265,2)</f>
        <v>327101.3</v>
      </c>
      <c r="Q68" s="107">
        <f>ROUND(307789.96*1.1265,2)-0.01</f>
        <v>346725.38</v>
      </c>
      <c r="R68" s="106">
        <f aca="true" t="shared" si="27" ref="R68:R76">O68+P68+Q68</f>
        <v>870254.53</v>
      </c>
      <c r="S68" s="105">
        <f>R68+J68+F68+N68</f>
        <v>2025099.53</v>
      </c>
      <c r="T68" s="151">
        <f>T69+T70</f>
        <v>2025099.53</v>
      </c>
      <c r="U68" s="129">
        <f>T68-S68</f>
        <v>0</v>
      </c>
    </row>
    <row r="69" spans="1:21" s="66" customFormat="1" ht="15">
      <c r="A69" s="108">
        <v>0.5</v>
      </c>
      <c r="B69" s="74"/>
      <c r="C69" s="74">
        <f>ROUND(C68*50%,2)</f>
        <v>180650.9</v>
      </c>
      <c r="D69" s="74">
        <f>ROUND(D68*50%,2)</f>
        <v>180971.86</v>
      </c>
      <c r="E69" s="74">
        <f>ROUND(E68*50%,2)</f>
        <v>143480.37</v>
      </c>
      <c r="F69" s="74">
        <f t="shared" si="24"/>
        <v>505103.13</v>
      </c>
      <c r="G69" s="74">
        <f>ROUND(G68*50%,2)</f>
        <v>62852.9</v>
      </c>
      <c r="H69" s="74">
        <f>ROUND(H68*50%,2)</f>
        <v>1768.05</v>
      </c>
      <c r="I69" s="74">
        <f>ROUND(I68*50%,2)</f>
        <v>1826.16</v>
      </c>
      <c r="J69" s="74">
        <f t="shared" si="25"/>
        <v>66447.11</v>
      </c>
      <c r="K69" s="74">
        <f>ROUND(K68*50%,2)</f>
        <v>2100.8</v>
      </c>
      <c r="L69" s="74">
        <f>ROUND(L68*50%,2)</f>
        <v>1851.45</v>
      </c>
      <c r="M69" s="74">
        <f>ROUND(M68*50%,2)-0.01</f>
        <v>1920.01</v>
      </c>
      <c r="N69" s="74">
        <f t="shared" si="26"/>
        <v>5872.26</v>
      </c>
      <c r="O69" s="74">
        <f>ROUND(O68*50%,2)-0.01</f>
        <v>98213.92</v>
      </c>
      <c r="P69" s="74">
        <f>ROUND(P68*50%,2)</f>
        <v>163550.65</v>
      </c>
      <c r="Q69" s="74">
        <f>ROUND(Q68*50%,2)</f>
        <v>173362.69</v>
      </c>
      <c r="R69" s="74">
        <f t="shared" si="27"/>
        <v>435127.26</v>
      </c>
      <c r="S69" s="103">
        <f aca="true" t="shared" si="28" ref="S69:S76">R69+J69+F69+N69</f>
        <v>1012549.76</v>
      </c>
      <c r="T69" s="132">
        <f>'[3]расчет норматива'!$F$123</f>
        <v>1012549.76</v>
      </c>
      <c r="U69" s="129">
        <f aca="true" t="shared" si="29" ref="U69:U78">T69-S69</f>
        <v>0</v>
      </c>
    </row>
    <row r="70" spans="1:21" s="66" customFormat="1" ht="15">
      <c r="A70" s="108">
        <v>0.5</v>
      </c>
      <c r="B70" s="74"/>
      <c r="C70" s="74">
        <f>C68-C69</f>
        <v>180650.9</v>
      </c>
      <c r="D70" s="74">
        <f>D68-D69</f>
        <v>180971.86</v>
      </c>
      <c r="E70" s="74">
        <f>E68-E69</f>
        <v>143480.37</v>
      </c>
      <c r="F70" s="74">
        <f t="shared" si="24"/>
        <v>505103.13</v>
      </c>
      <c r="G70" s="74">
        <f>G68-G69</f>
        <v>62852.9</v>
      </c>
      <c r="H70" s="74">
        <f>H68-H69</f>
        <v>1768.05</v>
      </c>
      <c r="I70" s="74">
        <f>I68-I69</f>
        <v>1826.1499999999999</v>
      </c>
      <c r="J70" s="74">
        <f t="shared" si="25"/>
        <v>66447.1</v>
      </c>
      <c r="K70" s="74">
        <f>ROUND(K68*50%,2)</f>
        <v>2100.8</v>
      </c>
      <c r="L70" s="74">
        <f>ROUND(L68*50%,2)</f>
        <v>1851.45</v>
      </c>
      <c r="M70" s="74">
        <f>ROUND(M68*50%,2)</f>
        <v>1920.02</v>
      </c>
      <c r="N70" s="74">
        <f t="shared" si="26"/>
        <v>5872.27</v>
      </c>
      <c r="O70" s="74">
        <f>ROUND(O68*50%,2)</f>
        <v>98213.93</v>
      </c>
      <c r="P70" s="74">
        <f>P68-P69</f>
        <v>163550.65</v>
      </c>
      <c r="Q70" s="74">
        <f>Q68-Q69</f>
        <v>173362.69</v>
      </c>
      <c r="R70" s="74">
        <f t="shared" si="27"/>
        <v>435127.27</v>
      </c>
      <c r="S70" s="103">
        <f t="shared" si="28"/>
        <v>1012549.77</v>
      </c>
      <c r="T70" s="132">
        <f>'[3]расчет норматива'!$F$134</f>
        <v>1012549.77</v>
      </c>
      <c r="U70" s="129">
        <f t="shared" si="29"/>
        <v>0</v>
      </c>
    </row>
    <row r="71" spans="1:21" s="104" customFormat="1" ht="15">
      <c r="A71" s="109" t="s">
        <v>184</v>
      </c>
      <c r="B71" s="106"/>
      <c r="C71" s="107">
        <v>18651.91</v>
      </c>
      <c r="D71" s="107">
        <v>23435.72</v>
      </c>
      <c r="E71" s="107">
        <v>20030.07</v>
      </c>
      <c r="F71" s="106">
        <f t="shared" si="24"/>
        <v>62117.700000000004</v>
      </c>
      <c r="G71" s="107">
        <v>21427.3</v>
      </c>
      <c r="H71" s="107">
        <v>19617.73</v>
      </c>
      <c r="I71" s="107">
        <v>10683.47</v>
      </c>
      <c r="J71" s="106">
        <f t="shared" si="25"/>
        <v>51728.5</v>
      </c>
      <c r="K71" s="107">
        <f>ROUND(3309.35*1.1265,2)</f>
        <v>3727.98</v>
      </c>
      <c r="L71" s="107">
        <f>ROUND(4190.83*1.1265,2)</f>
        <v>4720.97</v>
      </c>
      <c r="M71" s="107">
        <f>ROUND(21604.84*1.1265,2)</f>
        <v>24337.85</v>
      </c>
      <c r="N71" s="106">
        <f t="shared" si="26"/>
        <v>32786.8</v>
      </c>
      <c r="O71" s="107">
        <f>ROUND(26247.51*1.1265,2)</f>
        <v>29567.82</v>
      </c>
      <c r="P71" s="107">
        <f>ROUND(23473.45*1.1265,2)</f>
        <v>26442.84</v>
      </c>
      <c r="Q71" s="107">
        <f>ROUND(23674.96*1.1265,2)-0.05</f>
        <v>26669.79</v>
      </c>
      <c r="R71" s="106">
        <f t="shared" si="27"/>
        <v>82680.45000000001</v>
      </c>
      <c r="S71" s="105">
        <f t="shared" si="28"/>
        <v>229313.45</v>
      </c>
      <c r="T71" s="129">
        <f>'[3]расчет норматива'!$F$122</f>
        <v>229313.45</v>
      </c>
      <c r="U71" s="129">
        <f t="shared" si="29"/>
        <v>0</v>
      </c>
    </row>
    <row r="72" spans="1:21" s="104" customFormat="1" ht="15">
      <c r="A72" s="106" t="s">
        <v>190</v>
      </c>
      <c r="B72" s="106"/>
      <c r="C72" s="107">
        <v>117000</v>
      </c>
      <c r="D72" s="107">
        <v>136962.5</v>
      </c>
      <c r="E72" s="107">
        <v>117135</v>
      </c>
      <c r="F72" s="106">
        <f t="shared" si="24"/>
        <v>371097.5</v>
      </c>
      <c r="G72" s="107">
        <v>97425</v>
      </c>
      <c r="H72" s="107">
        <v>59027.5</v>
      </c>
      <c r="I72" s="107">
        <v>34425</v>
      </c>
      <c r="J72" s="106">
        <f t="shared" si="25"/>
        <v>190877.5</v>
      </c>
      <c r="K72" s="107">
        <f>ROUND(13205*1.105,2)</f>
        <v>14591.53</v>
      </c>
      <c r="L72" s="107">
        <f>ROUND(21875*1.105,2)</f>
        <v>24171.88</v>
      </c>
      <c r="M72" s="107">
        <f>ROUND(96775*1.105,2)-0.01</f>
        <v>106936.37000000001</v>
      </c>
      <c r="N72" s="106">
        <f t="shared" si="26"/>
        <v>145699.78000000003</v>
      </c>
      <c r="O72" s="107">
        <f>ROUND(133780*1.105,2)</f>
        <v>147826.9</v>
      </c>
      <c r="P72" s="107">
        <f>ROUND(128965*1.105,2)</f>
        <v>142506.33</v>
      </c>
      <c r="Q72" s="107">
        <f>ROUND(166300*1.105,2)</f>
        <v>183761.5</v>
      </c>
      <c r="R72" s="106">
        <f t="shared" si="27"/>
        <v>474094.73</v>
      </c>
      <c r="S72" s="105">
        <f t="shared" si="28"/>
        <v>1181769.51</v>
      </c>
      <c r="T72" s="151">
        <f>T73+T74</f>
        <v>1181769.51</v>
      </c>
      <c r="U72" s="129">
        <f t="shared" si="29"/>
        <v>0</v>
      </c>
    </row>
    <row r="73" spans="1:21" s="66" customFormat="1" ht="15">
      <c r="A73" s="108">
        <v>0.9</v>
      </c>
      <c r="B73" s="74"/>
      <c r="C73" s="74">
        <f>ROUND(C72*90%,2)</f>
        <v>105300</v>
      </c>
      <c r="D73" s="74">
        <f>ROUND(D72*90%,2)</f>
        <v>123266.25</v>
      </c>
      <c r="E73" s="74">
        <f>ROUND(E72*90%,2)</f>
        <v>105421.5</v>
      </c>
      <c r="F73" s="74">
        <f t="shared" si="24"/>
        <v>333987.75</v>
      </c>
      <c r="G73" s="74">
        <f>ROUND(G72*90%,2)</f>
        <v>87682.5</v>
      </c>
      <c r="H73" s="74">
        <f>ROUND(H72*90%,2)</f>
        <v>53124.75</v>
      </c>
      <c r="I73" s="74">
        <f>ROUND(I72*90%,2)</f>
        <v>30982.5</v>
      </c>
      <c r="J73" s="74">
        <f t="shared" si="25"/>
        <v>171789.75</v>
      </c>
      <c r="K73" s="74">
        <f>ROUND(K72*90%,2)</f>
        <v>13132.38</v>
      </c>
      <c r="L73" s="74">
        <f>ROUND(L72*90%,2)</f>
        <v>21754.69</v>
      </c>
      <c r="M73" s="74">
        <f>ROUND(M72*90%,2)</f>
        <v>96242.73</v>
      </c>
      <c r="N73" s="74">
        <f t="shared" si="26"/>
        <v>131129.8</v>
      </c>
      <c r="O73" s="74">
        <f>ROUND(O72*90%,2)</f>
        <v>133044.21</v>
      </c>
      <c r="P73" s="74">
        <f>ROUND(P72*90%,2)</f>
        <v>128255.7</v>
      </c>
      <c r="Q73" s="74">
        <f>ROUND(Q72*90%,2)</f>
        <v>165385.35</v>
      </c>
      <c r="R73" s="74">
        <f t="shared" si="27"/>
        <v>426685.26</v>
      </c>
      <c r="S73" s="103">
        <f t="shared" si="28"/>
        <v>1063592.56</v>
      </c>
      <c r="T73" s="132">
        <f>'[3]расчет норматива'!$F$124</f>
        <v>1063592.56</v>
      </c>
      <c r="U73" s="129">
        <f t="shared" si="29"/>
        <v>0</v>
      </c>
    </row>
    <row r="74" spans="1:21" s="66" customFormat="1" ht="15">
      <c r="A74" s="108">
        <v>0.1</v>
      </c>
      <c r="B74" s="74"/>
      <c r="C74" s="74">
        <f>C72-C73</f>
        <v>11700</v>
      </c>
      <c r="D74" s="74">
        <f>D72-D73</f>
        <v>13696.25</v>
      </c>
      <c r="E74" s="74">
        <f>E72-E73</f>
        <v>11713.5</v>
      </c>
      <c r="F74" s="74">
        <f t="shared" si="24"/>
        <v>37109.75</v>
      </c>
      <c r="G74" s="74">
        <f>G72-G73</f>
        <v>9742.5</v>
      </c>
      <c r="H74" s="74">
        <f>H72-H73</f>
        <v>5902.75</v>
      </c>
      <c r="I74" s="74">
        <f>I72-I73</f>
        <v>3442.5</v>
      </c>
      <c r="J74" s="74">
        <f t="shared" si="25"/>
        <v>19087.75</v>
      </c>
      <c r="K74" s="74">
        <f>K72-K73</f>
        <v>1459.1500000000015</v>
      </c>
      <c r="L74" s="74">
        <f>L72-L73</f>
        <v>2417.1900000000023</v>
      </c>
      <c r="M74" s="74">
        <f>M72-M73</f>
        <v>10693.640000000014</v>
      </c>
      <c r="N74" s="74">
        <f t="shared" si="26"/>
        <v>14569.980000000018</v>
      </c>
      <c r="O74" s="74">
        <f>O72-O73</f>
        <v>14782.690000000002</v>
      </c>
      <c r="P74" s="74">
        <f>P72-P73</f>
        <v>14250.62999999999</v>
      </c>
      <c r="Q74" s="74">
        <f>Q72-Q73</f>
        <v>18376.149999999994</v>
      </c>
      <c r="R74" s="74">
        <f t="shared" si="27"/>
        <v>47409.46999999999</v>
      </c>
      <c r="S74" s="103">
        <f>R74+J74+F74+N74</f>
        <v>118176.95000000001</v>
      </c>
      <c r="T74" s="132">
        <f>'[3]расчет норматива'!$F$135</f>
        <v>118176.95</v>
      </c>
      <c r="U74" s="129">
        <f t="shared" si="29"/>
        <v>0</v>
      </c>
    </row>
    <row r="75" spans="1:21" s="104" customFormat="1" ht="15">
      <c r="A75" s="106" t="s">
        <v>189</v>
      </c>
      <c r="B75" s="106"/>
      <c r="C75" s="107">
        <v>30383.78</v>
      </c>
      <c r="D75" s="107">
        <v>13211.29</v>
      </c>
      <c r="E75" s="107">
        <f>12910.88-0.41</f>
        <v>12910.47</v>
      </c>
      <c r="F75" s="106">
        <f t="shared" si="24"/>
        <v>56505.54</v>
      </c>
      <c r="G75" s="107">
        <f>12112.19+0.41-0.4</f>
        <v>12112.2</v>
      </c>
      <c r="H75" s="107">
        <v>18224.31</v>
      </c>
      <c r="I75" s="107">
        <v>13674.28</v>
      </c>
      <c r="J75" s="106">
        <f t="shared" si="25"/>
        <v>44010.79</v>
      </c>
      <c r="K75" s="107">
        <f>ROUND(6860.15*1.114,2)+0.4-0.43</f>
        <v>7642.179999999999</v>
      </c>
      <c r="L75" s="107">
        <f>ROUND(4074.67*1.114,2)</f>
        <v>4539.18</v>
      </c>
      <c r="M75" s="107">
        <f>ROUND(14187.19*1.114,2)</f>
        <v>15804.53</v>
      </c>
      <c r="N75" s="106">
        <f>K75+L75+M75</f>
        <v>27985.89</v>
      </c>
      <c r="O75" s="107">
        <f>ROUND(16903.6*1.114,2)</f>
        <v>18830.61</v>
      </c>
      <c r="P75" s="107">
        <f>ROUND(12401.16*1.114,2)</f>
        <v>13814.89</v>
      </c>
      <c r="Q75" s="107">
        <f>ROUND(15514.68*1.114,2)+0.01+0.43</f>
        <v>17283.789999999997</v>
      </c>
      <c r="R75" s="106">
        <f t="shared" si="27"/>
        <v>49929.28999999999</v>
      </c>
      <c r="S75" s="105">
        <f t="shared" si="28"/>
        <v>178431.51</v>
      </c>
      <c r="T75" s="129">
        <f>'[3]расчет норматива'!$F$120+'[3]расчет норматива'!$F$121</f>
        <v>178431.51</v>
      </c>
      <c r="U75" s="129">
        <f t="shared" si="29"/>
        <v>0</v>
      </c>
    </row>
    <row r="76" spans="1:21" s="104" customFormat="1" ht="15">
      <c r="A76" s="106"/>
      <c r="B76" s="106"/>
      <c r="C76" s="107"/>
      <c r="D76" s="107"/>
      <c r="E76" s="107"/>
      <c r="F76" s="106">
        <f t="shared" si="24"/>
        <v>0</v>
      </c>
      <c r="G76" s="107"/>
      <c r="H76" s="107"/>
      <c r="I76" s="107"/>
      <c r="J76" s="106">
        <f t="shared" si="25"/>
        <v>0</v>
      </c>
      <c r="K76" s="107"/>
      <c r="L76" s="107"/>
      <c r="M76" s="107"/>
      <c r="N76" s="106">
        <f t="shared" si="26"/>
        <v>0</v>
      </c>
      <c r="O76" s="107"/>
      <c r="P76" s="107"/>
      <c r="Q76" s="107"/>
      <c r="R76" s="106">
        <f t="shared" si="27"/>
        <v>0</v>
      </c>
      <c r="S76" s="105">
        <f t="shared" si="28"/>
        <v>0</v>
      </c>
      <c r="U76" s="129">
        <f t="shared" si="29"/>
        <v>0</v>
      </c>
    </row>
    <row r="77" spans="1:21" s="66" customFormat="1" ht="15">
      <c r="A77" s="74">
        <v>223</v>
      </c>
      <c r="B77" s="74"/>
      <c r="C77" s="74">
        <f>C68+C72+C75+C71+C76</f>
        <v>527337.49</v>
      </c>
      <c r="D77" s="74">
        <f>D68+D72+D75+D71+D76</f>
        <v>535553.23</v>
      </c>
      <c r="E77" s="74">
        <f>E68+E72+E75+E71+E76</f>
        <v>437036.27999999997</v>
      </c>
      <c r="F77" s="74">
        <f aca="true" t="shared" si="30" ref="F77:Q77">F68+F72+F75+F71+F76</f>
        <v>1499927</v>
      </c>
      <c r="G77" s="74">
        <f t="shared" si="30"/>
        <v>256670.3</v>
      </c>
      <c r="H77" s="74">
        <f t="shared" si="30"/>
        <v>100405.64</v>
      </c>
      <c r="I77" s="74">
        <f t="shared" si="30"/>
        <v>62435.06</v>
      </c>
      <c r="J77" s="74">
        <f>J68+J72+J75+J71+J76</f>
        <v>419511</v>
      </c>
      <c r="K77" s="74">
        <f t="shared" si="30"/>
        <v>30163.29</v>
      </c>
      <c r="L77" s="74">
        <f t="shared" si="30"/>
        <v>37134.93</v>
      </c>
      <c r="M77" s="74">
        <f t="shared" si="30"/>
        <v>150918.78</v>
      </c>
      <c r="N77" s="74">
        <f t="shared" si="30"/>
        <v>218217</v>
      </c>
      <c r="O77" s="74">
        <f t="shared" si="30"/>
        <v>392653.18</v>
      </c>
      <c r="P77" s="74">
        <f t="shared" si="30"/>
        <v>509865.36000000004</v>
      </c>
      <c r="Q77" s="74">
        <f t="shared" si="30"/>
        <v>574440.4600000001</v>
      </c>
      <c r="R77" s="74">
        <f>R68+R72+R75+R71+R76</f>
        <v>1476959</v>
      </c>
      <c r="S77" s="103">
        <f>S68+S72+S75+S71+S76</f>
        <v>3614614</v>
      </c>
      <c r="T77" s="132">
        <f>T68+T71+T72+T75</f>
        <v>3614614</v>
      </c>
      <c r="U77" s="129">
        <f t="shared" si="29"/>
        <v>0</v>
      </c>
    </row>
    <row r="78" spans="11:21" ht="15">
      <c r="K78">
        <v>150000</v>
      </c>
      <c r="L78">
        <v>0</v>
      </c>
      <c r="M78">
        <v>76973</v>
      </c>
      <c r="U78" s="129">
        <f t="shared" si="29"/>
        <v>0</v>
      </c>
    </row>
    <row r="79" spans="1:21" s="110" customFormat="1" ht="15">
      <c r="A79" s="113" t="s">
        <v>203</v>
      </c>
      <c r="F79" s="112"/>
      <c r="J79" s="112"/>
      <c r="N79" s="112"/>
      <c r="R79" s="112"/>
      <c r="S79" s="111">
        <f>T79-S77</f>
        <v>0</v>
      </c>
      <c r="T79" s="111">
        <f>T68+T71+T72+T75</f>
        <v>3614614</v>
      </c>
      <c r="U79" s="129">
        <f>T79-S79</f>
        <v>3614614</v>
      </c>
    </row>
    <row r="80" spans="1:28" s="110" customFormat="1" ht="15">
      <c r="A80" s="113"/>
      <c r="C80" s="284" t="s">
        <v>208</v>
      </c>
      <c r="D80" s="284"/>
      <c r="E80" s="284"/>
      <c r="F80" s="284"/>
      <c r="G80" s="284"/>
      <c r="H80" s="284"/>
      <c r="I80" s="284"/>
      <c r="J80" s="284"/>
      <c r="L80" s="284" t="s">
        <v>209</v>
      </c>
      <c r="M80" s="284"/>
      <c r="N80" s="284"/>
      <c r="O80" s="284"/>
      <c r="P80" s="284"/>
      <c r="Q80" s="284"/>
      <c r="R80" s="284"/>
      <c r="S80" s="284"/>
      <c r="U80" s="284" t="s">
        <v>210</v>
      </c>
      <c r="V80" s="284"/>
      <c r="W80" s="284"/>
      <c r="X80" s="284"/>
      <c r="Y80" s="284"/>
      <c r="Z80" s="284"/>
      <c r="AA80" s="284"/>
      <c r="AB80" s="284"/>
    </row>
    <row r="81" spans="1:28" s="110" customFormat="1" ht="15">
      <c r="A81" s="113"/>
      <c r="C81" s="284" t="s">
        <v>206</v>
      </c>
      <c r="D81" s="284"/>
      <c r="F81" s="284" t="s">
        <v>194</v>
      </c>
      <c r="G81" s="284"/>
      <c r="I81" s="284" t="s">
        <v>185</v>
      </c>
      <c r="J81" s="284"/>
      <c r="L81" s="284" t="s">
        <v>206</v>
      </c>
      <c r="M81" s="284"/>
      <c r="O81" s="284" t="s">
        <v>194</v>
      </c>
      <c r="P81" s="284"/>
      <c r="R81" s="284" t="s">
        <v>185</v>
      </c>
      <c r="S81" s="284"/>
      <c r="U81" s="284" t="s">
        <v>206</v>
      </c>
      <c r="V81" s="284"/>
      <c r="X81" s="284" t="s">
        <v>194</v>
      </c>
      <c r="Y81" s="284"/>
      <c r="AA81" s="284" t="s">
        <v>185</v>
      </c>
      <c r="AB81" s="284"/>
    </row>
    <row r="82" spans="3:28" s="148" customFormat="1" ht="15">
      <c r="C82" s="116">
        <v>211</v>
      </c>
      <c r="D82" s="116">
        <v>213</v>
      </c>
      <c r="E82" s="116"/>
      <c r="F82" s="116">
        <v>211</v>
      </c>
      <c r="G82" s="116">
        <v>213</v>
      </c>
      <c r="H82" s="116"/>
      <c r="I82" s="116">
        <v>211</v>
      </c>
      <c r="J82" s="116">
        <v>213</v>
      </c>
      <c r="K82" s="116"/>
      <c r="L82" s="116">
        <v>211</v>
      </c>
      <c r="M82" s="116">
        <v>213</v>
      </c>
      <c r="N82" s="116"/>
      <c r="O82" s="116">
        <v>211</v>
      </c>
      <c r="P82" s="116">
        <v>213</v>
      </c>
      <c r="Q82" s="116"/>
      <c r="R82" s="116">
        <v>211</v>
      </c>
      <c r="S82" s="116">
        <v>213</v>
      </c>
      <c r="U82" s="116">
        <v>211</v>
      </c>
      <c r="V82" s="116">
        <v>213</v>
      </c>
      <c r="W82" s="116"/>
      <c r="X82" s="116">
        <v>211</v>
      </c>
      <c r="Y82" s="116">
        <v>213</v>
      </c>
      <c r="Z82" s="116"/>
      <c r="AA82" s="116">
        <v>211</v>
      </c>
      <c r="AB82" s="116">
        <v>213</v>
      </c>
    </row>
    <row r="83" spans="1:28" s="131" customFormat="1" ht="56.25">
      <c r="A83" s="97" t="s">
        <v>204</v>
      </c>
      <c r="C83" s="74">
        <v>24179.72</v>
      </c>
      <c r="D83" s="74">
        <f>ROUND(C83*0.342,2)</f>
        <v>8269.46</v>
      </c>
      <c r="E83" s="131">
        <f>C83/C85</f>
        <v>0.06375348367517514</v>
      </c>
      <c r="F83" s="74">
        <v>783304.7</v>
      </c>
      <c r="G83" s="74">
        <f>ROUND(F83*0.342,2)</f>
        <v>267890.21</v>
      </c>
      <c r="H83" s="131">
        <f>F83/F85</f>
        <v>0.6917880578297079</v>
      </c>
      <c r="I83" s="74">
        <f>C83+F83</f>
        <v>807484.4199999999</v>
      </c>
      <c r="J83" s="74">
        <f>D83+G83</f>
        <v>276159.67000000004</v>
      </c>
      <c r="L83" s="74">
        <f>ROUND(C83*1.065,2)</f>
        <v>25751.4</v>
      </c>
      <c r="M83" s="74">
        <f>ROUND(L83*0.342,2)</f>
        <v>8806.98</v>
      </c>
      <c r="O83" s="74">
        <f>ROUND(F83*1.065,2)</f>
        <v>834219.51</v>
      </c>
      <c r="P83" s="74">
        <f>ROUND(O83*0.342,2)</f>
        <v>285303.07</v>
      </c>
      <c r="R83" s="74">
        <f>L83+O83</f>
        <v>859970.91</v>
      </c>
      <c r="S83" s="74">
        <f>M83+P83</f>
        <v>294110.05</v>
      </c>
      <c r="U83" s="74">
        <f>L83</f>
        <v>25751.4</v>
      </c>
      <c r="V83" s="74">
        <f>ROUND(U83*0.342,2)</f>
        <v>8806.98</v>
      </c>
      <c r="X83" s="74">
        <v>894361</v>
      </c>
      <c r="Y83" s="74">
        <f>ROUND(X83*0.342,2)</f>
        <v>305871.46</v>
      </c>
      <c r="AA83" s="74">
        <f>U83+X83</f>
        <v>920112.4</v>
      </c>
      <c r="AB83" s="74">
        <f>V83+Y83</f>
        <v>314678.44</v>
      </c>
    </row>
    <row r="84" spans="1:28" s="131" customFormat="1" ht="66.75">
      <c r="A84" s="88" t="s">
        <v>205</v>
      </c>
      <c r="C84" s="74">
        <v>355089.28</v>
      </c>
      <c r="D84" s="74">
        <f>ROUND(C84*0.342,2)</f>
        <v>121440.53</v>
      </c>
      <c r="F84" s="74">
        <f>353910.78-4925.48</f>
        <v>348985.30000000005</v>
      </c>
      <c r="G84" s="74">
        <f>ROUND(F84*0.342,2)</f>
        <v>119352.97</v>
      </c>
      <c r="I84" s="74">
        <f>C84+F84</f>
        <v>704074.5800000001</v>
      </c>
      <c r="J84" s="74">
        <f>D84+G84</f>
        <v>240793.5</v>
      </c>
      <c r="L84" s="74">
        <f>ROUND(C84*1.065,2)</f>
        <v>378170.08</v>
      </c>
      <c r="M84" s="74">
        <f>ROUND(L84*0.342,2)</f>
        <v>129334.17</v>
      </c>
      <c r="O84" s="74">
        <f>ROUND(F84*1.065,2)</f>
        <v>371669.34</v>
      </c>
      <c r="P84" s="74">
        <f>ROUND(O84*0.342,2)</f>
        <v>127110.91</v>
      </c>
      <c r="R84" s="74">
        <f>L84+O84</f>
        <v>749839.42</v>
      </c>
      <c r="S84" s="74">
        <f>M84+P84</f>
        <v>256445.08000000002</v>
      </c>
      <c r="U84" s="74">
        <f>L84</f>
        <v>378170.08</v>
      </c>
      <c r="V84" s="74">
        <f>ROUND(U84*0.342,2)</f>
        <v>129334.17</v>
      </c>
      <c r="X84" s="74">
        <v>387856</v>
      </c>
      <c r="Y84" s="74">
        <f>ROUND(X84*0.342,2)</f>
        <v>132646.75</v>
      </c>
      <c r="AA84" s="74">
        <f>U84+X84</f>
        <v>766026.0800000001</v>
      </c>
      <c r="AB84" s="74">
        <f>V84+Y84</f>
        <v>261980.91999999998</v>
      </c>
    </row>
    <row r="85" spans="1:28" ht="15">
      <c r="A85" t="s">
        <v>185</v>
      </c>
      <c r="C85">
        <f>SUM(C83:C84)</f>
        <v>379269</v>
      </c>
      <c r="D85">
        <f>SUM(D83:D84)</f>
        <v>129709.98999999999</v>
      </c>
      <c r="F85">
        <f>SUM(F83:F84)</f>
        <v>1132290</v>
      </c>
      <c r="G85">
        <f>SUM(G83:G84)</f>
        <v>387243.18000000005</v>
      </c>
      <c r="I85">
        <f>SUM(I83:I84)</f>
        <v>1511559</v>
      </c>
      <c r="J85">
        <f>SUM(J83:J84)</f>
        <v>516953.17000000004</v>
      </c>
      <c r="L85">
        <f>SUM(L83:L84)</f>
        <v>403921.48000000004</v>
      </c>
      <c r="M85">
        <f>SUM(M83:M84)</f>
        <v>138141.15</v>
      </c>
      <c r="N85"/>
      <c r="O85">
        <f>SUM(O83:O84)</f>
        <v>1205888.85</v>
      </c>
      <c r="P85">
        <f>SUM(P83:P84)</f>
        <v>412413.98</v>
      </c>
      <c r="R85">
        <f>SUM(R83:R84)</f>
        <v>1609810.33</v>
      </c>
      <c r="S85">
        <f>SUM(S83:S84)</f>
        <v>550555.13</v>
      </c>
      <c r="U85">
        <f>SUM(U83:U84)</f>
        <v>403921.48000000004</v>
      </c>
      <c r="V85">
        <f>SUM(V83:V84)</f>
        <v>138141.15</v>
      </c>
      <c r="X85">
        <f>SUM(X83:X84)</f>
        <v>1282217</v>
      </c>
      <c r="Y85">
        <f>SUM(Y83:Y84)</f>
        <v>438518.21</v>
      </c>
      <c r="AA85">
        <f>SUM(AA83:AA84)</f>
        <v>1686138.48</v>
      </c>
      <c r="AB85">
        <f>SUM(AB83:AB84)</f>
        <v>576659.36</v>
      </c>
    </row>
    <row r="86" spans="1:28" ht="15">
      <c r="A86" t="s">
        <v>207</v>
      </c>
      <c r="N86"/>
      <c r="O86" s="66"/>
      <c r="R86"/>
      <c r="S86" s="66"/>
      <c r="X86" s="66"/>
      <c r="AB86" s="66"/>
    </row>
    <row r="87" spans="1:28" ht="56.25">
      <c r="A87" s="97" t="s">
        <v>204</v>
      </c>
      <c r="C87" s="74">
        <f>ROUND(C83*0.4,2)</f>
        <v>9671.89</v>
      </c>
      <c r="D87" s="74"/>
      <c r="E87" s="131"/>
      <c r="F87" s="74">
        <f>ROUND(F83*0.4,2)</f>
        <v>313321.88</v>
      </c>
      <c r="G87" s="74"/>
      <c r="L87" s="74">
        <f>ROUND(L83*0.4,2)</f>
        <v>10300.56</v>
      </c>
      <c r="M87" s="74"/>
      <c r="N87" s="131"/>
      <c r="O87" s="74">
        <f>ROUND(O83*0.4,2)</f>
        <v>333687.8</v>
      </c>
      <c r="P87" s="74"/>
      <c r="R87"/>
      <c r="S87" s="66"/>
      <c r="U87" s="74">
        <f>ROUND(U83*0.4,2)</f>
        <v>10300.56</v>
      </c>
      <c r="V87" s="74"/>
      <c r="W87" s="131"/>
      <c r="X87" s="74">
        <f>ROUND(X83*0.4,2)</f>
        <v>357744.4</v>
      </c>
      <c r="Y87" s="74"/>
      <c r="AB87" s="66"/>
    </row>
    <row r="88" spans="1:28" ht="66.75">
      <c r="A88" s="88" t="s">
        <v>205</v>
      </c>
      <c r="C88" s="74">
        <f>ROUND(C84*0.4,2)</f>
        <v>142035.71</v>
      </c>
      <c r="D88" s="74"/>
      <c r="E88" s="131"/>
      <c r="F88" s="74">
        <f>ROUND(F84*0.4,2)</f>
        <v>139594.12</v>
      </c>
      <c r="G88" s="74"/>
      <c r="L88" s="74">
        <f>ROUND(L84*0.4,2)</f>
        <v>151268.03</v>
      </c>
      <c r="M88" s="74"/>
      <c r="N88" s="131"/>
      <c r="O88" s="74">
        <f>ROUND(O84*0.4,2)</f>
        <v>148667.74</v>
      </c>
      <c r="P88" s="74"/>
      <c r="R88"/>
      <c r="S88" s="66"/>
      <c r="U88" s="74">
        <f>ROUND(U84*0.4,2)</f>
        <v>151268.03</v>
      </c>
      <c r="V88" s="74"/>
      <c r="W88" s="131"/>
      <c r="X88" s="74">
        <f>ROUND(X84*0.4,2)</f>
        <v>155142.4</v>
      </c>
      <c r="Y88" s="74"/>
      <c r="AB88" s="66"/>
    </row>
    <row r="89" ht="15">
      <c r="F89" s="66">
        <f>SUM(F87:F88)</f>
        <v>452916</v>
      </c>
    </row>
  </sheetData>
  <sheetProtection/>
  <mergeCells count="15">
    <mergeCell ref="C80:J80"/>
    <mergeCell ref="L80:S80"/>
    <mergeCell ref="L81:M81"/>
    <mergeCell ref="O81:P81"/>
    <mergeCell ref="R81:S81"/>
    <mergeCell ref="U80:AB80"/>
    <mergeCell ref="U81:V81"/>
    <mergeCell ref="X81:Y81"/>
    <mergeCell ref="AA81:AB81"/>
    <mergeCell ref="A1:S1"/>
    <mergeCell ref="B2:B3"/>
    <mergeCell ref="C2:R2"/>
    <mergeCell ref="C81:D81"/>
    <mergeCell ref="F81:G81"/>
    <mergeCell ref="I81:J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Пользователь</cp:lastModifiedBy>
  <cp:lastPrinted>2013-01-30T11:06:07Z</cp:lastPrinted>
  <dcterms:created xsi:type="dcterms:W3CDTF">2011-03-15T07:37:35Z</dcterms:created>
  <dcterms:modified xsi:type="dcterms:W3CDTF">2013-04-02T11:49:32Z</dcterms:modified>
  <cp:category/>
  <cp:version/>
  <cp:contentType/>
  <cp:contentStatus/>
</cp:coreProperties>
</file>